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-105" yWindow="0" windowWidth="17295" windowHeight="11640" tabRatio="920" activeTab="3"/>
  </bookViews>
  <sheets>
    <sheet name="Установка скидки" sheetId="13" r:id="rId1"/>
    <sheet name="Феррит моно (AISI 430)" sheetId="25" r:id="rId2"/>
    <sheet name=" Феррит термо (AISI 430)" sheetId="28" r:id="rId3"/>
    <sheet name="Адаптеры, переходы (AISI 430)" sheetId="31" r:id="rId4"/>
    <sheet name="СТАНДАРТ 30 (AISI 444)" sheetId="22" r:id="rId5"/>
    <sheet name="СТАНДАРТ 50 (AISI 304)" sheetId="21" r:id="rId6"/>
    <sheet name="ПРОМО (AISI 316)" sheetId="6" r:id="rId7"/>
    <sheet name="ЭНЕРГО (AISI 310)" sheetId="33" r:id="rId8"/>
    <sheet name="Адаптеры,переходы(AISI 304,310)" sheetId="15" r:id="rId9"/>
    <sheet name="Стандарт овал (AISI 304)" sheetId="12" r:id="rId10"/>
    <sheet name="Комплектующие к дымоходам" sheetId="30" r:id="rId11"/>
    <sheet name="Баки" sheetId="4" r:id="rId12"/>
  </sheets>
  <definedNames>
    <definedName name="_xlnm.Print_Titles" localSheetId="3">'Адаптеры, переходы (AISI 430)'!$1:$6</definedName>
    <definedName name="_xlnm.Print_Titles" localSheetId="8">'Адаптеры,переходы(AISI 304,310)'!$1:$6</definedName>
    <definedName name="_xlnm.Print_Titles" localSheetId="10">'Комплектующие к дымоходам'!$1:$8</definedName>
    <definedName name="_xlnm.Print_Titles" localSheetId="6">'ПРОМО (AISI 316)'!$1:$9</definedName>
    <definedName name="_xlnm.Print_Titles" localSheetId="5">'СТАНДАРТ 50 (AISI 304)'!$1:$7</definedName>
    <definedName name="_xlnm.Print_Titles" localSheetId="7">'ЭНЕРГО (AISI 310)'!$1:$6</definedName>
    <definedName name="_xlnm.Print_Area" localSheetId="3">'Адаптеры, переходы (AISI 430)'!$A$1:$R$69</definedName>
    <definedName name="_xlnm.Print_Area" localSheetId="8">'Адаптеры,переходы(AISI 304,310)'!$A$1:$M$74</definedName>
    <definedName name="_xlnm.Print_Area" localSheetId="11">Баки!$A$1:$D$35</definedName>
    <definedName name="_xlnm.Print_Area" localSheetId="10">'Комплектующие к дымоходам'!$A$1:$Y$62</definedName>
    <definedName name="_xlnm.Print_Area" localSheetId="6">'ПРОМО (AISI 316)'!$A$1:$J$97</definedName>
    <definedName name="_xlnm.Print_Area" localSheetId="4">'СТАНДАРТ 30 (AISI 444)'!$A$1:$J$92</definedName>
    <definedName name="_xlnm.Print_Area" localSheetId="5">'СТАНДАРТ 50 (AISI 304)'!$A$1:$K$105</definedName>
    <definedName name="_xlnm.Print_Area" localSheetId="9">'Стандарт овал (AISI 304)'!$A$1:$H$30</definedName>
    <definedName name="_xlnm.Print_Area" localSheetId="7">'ЭНЕРГО (AISI 310)'!$A$1:$D$82</definedName>
  </definedNames>
  <calcPr calcId="145621"/>
</workbook>
</file>

<file path=xl/calcChain.xml><?xml version="1.0" encoding="utf-8"?>
<calcChain xmlns="http://schemas.openxmlformats.org/spreadsheetml/2006/main">
  <c r="H69" i="22" l="1"/>
  <c r="H65" i="22"/>
  <c r="E66" i="22"/>
  <c r="H63" i="22"/>
  <c r="H62" i="22"/>
  <c r="C87" i="21"/>
  <c r="E87" i="21"/>
  <c r="G87" i="21"/>
  <c r="H87" i="21"/>
  <c r="H84" i="21"/>
  <c r="G84" i="21"/>
  <c r="E84" i="21"/>
  <c r="C84" i="21"/>
  <c r="E78" i="21"/>
  <c r="G70" i="21"/>
  <c r="B36" i="21"/>
  <c r="B33" i="21"/>
  <c r="B19" i="33"/>
  <c r="J52" i="15"/>
  <c r="D47" i="15"/>
  <c r="F36" i="15"/>
  <c r="G17" i="15"/>
  <c r="F16" i="15"/>
  <c r="B38" i="30"/>
  <c r="B37" i="30"/>
  <c r="O36" i="30"/>
  <c r="U36" i="30"/>
  <c r="P36" i="30"/>
  <c r="P35" i="30"/>
  <c r="M36" i="30"/>
  <c r="O35" i="30"/>
  <c r="C17" i="4"/>
  <c r="C15" i="4"/>
  <c r="K53" i="28" l="1"/>
  <c r="D53" i="28"/>
  <c r="P53" i="28"/>
  <c r="L50" i="28"/>
  <c r="J40" i="28"/>
  <c r="O39" i="28"/>
  <c r="D38" i="28"/>
  <c r="D27" i="28"/>
  <c r="J24" i="28"/>
  <c r="I24" i="28"/>
  <c r="O23" i="28"/>
  <c r="N23" i="28"/>
  <c r="M23" i="28"/>
  <c r="C22" i="28"/>
  <c r="P20" i="28"/>
  <c r="O20" i="28"/>
  <c r="J20" i="28"/>
  <c r="O19" i="28"/>
  <c r="M19" i="28"/>
  <c r="D18" i="28"/>
  <c r="B52" i="25"/>
  <c r="O50" i="25"/>
  <c r="N50" i="25"/>
  <c r="M50" i="25"/>
  <c r="K50" i="25"/>
  <c r="H50" i="25"/>
  <c r="N49" i="25"/>
  <c r="M49" i="25"/>
  <c r="L49" i="25"/>
  <c r="K49" i="25"/>
  <c r="J49" i="25"/>
  <c r="I49" i="25"/>
  <c r="H49" i="25"/>
  <c r="G49" i="25"/>
  <c r="F49" i="25"/>
  <c r="F50" i="25"/>
  <c r="E50" i="25"/>
  <c r="E49" i="25"/>
  <c r="O47" i="25"/>
  <c r="N47" i="25"/>
  <c r="M47" i="25"/>
  <c r="K47" i="25"/>
  <c r="H47" i="25"/>
  <c r="F47" i="25"/>
  <c r="E47" i="25"/>
  <c r="L46" i="25"/>
  <c r="K46" i="25"/>
  <c r="J46" i="25"/>
  <c r="I46" i="25"/>
  <c r="H46" i="25"/>
  <c r="G46" i="25"/>
  <c r="F46" i="25"/>
  <c r="E46" i="25"/>
  <c r="O43" i="25"/>
  <c r="M43" i="25"/>
  <c r="L43" i="25"/>
  <c r="F43" i="25"/>
  <c r="E43" i="25"/>
  <c r="D43" i="25"/>
  <c r="B41" i="25"/>
  <c r="E38" i="25"/>
  <c r="B38" i="25"/>
  <c r="B36" i="25"/>
  <c r="D33" i="25"/>
  <c r="B33" i="25"/>
  <c r="F31" i="25"/>
  <c r="D26" i="25"/>
  <c r="C26" i="25"/>
  <c r="B26" i="25"/>
  <c r="G20" i="25"/>
  <c r="O23" i="31"/>
  <c r="K15" i="31"/>
  <c r="H39" i="28" l="1"/>
  <c r="O32" i="28"/>
  <c r="J38" i="31" l="1"/>
  <c r="D32" i="31"/>
  <c r="C32" i="31"/>
  <c r="N43" i="31"/>
  <c r="M42" i="31"/>
  <c r="M41" i="31"/>
  <c r="L41" i="31"/>
  <c r="J41" i="31"/>
  <c r="K40" i="31"/>
  <c r="E36" i="31"/>
  <c r="F35" i="31"/>
  <c r="H35" i="31"/>
  <c r="F34" i="31"/>
  <c r="E34" i="31"/>
  <c r="D33" i="31"/>
  <c r="N41" i="31"/>
  <c r="K36" i="31"/>
  <c r="B11" i="31"/>
  <c r="F13" i="31"/>
  <c r="F14" i="31"/>
  <c r="E13" i="31"/>
  <c r="E11" i="31"/>
  <c r="F11" i="31"/>
  <c r="N22" i="31"/>
  <c r="M21" i="31"/>
  <c r="M20" i="31"/>
  <c r="L20" i="31"/>
  <c r="K18" i="31"/>
  <c r="K19" i="31"/>
  <c r="J17" i="31"/>
  <c r="K17" i="31"/>
  <c r="I17" i="31"/>
  <c r="E14" i="31"/>
  <c r="H17" i="31"/>
  <c r="I18" i="31"/>
  <c r="K20" i="31"/>
  <c r="L21" i="31"/>
  <c r="M22" i="31"/>
  <c r="N23" i="31"/>
  <c r="P24" i="31"/>
  <c r="G16" i="31"/>
  <c r="G15" i="31"/>
  <c r="F15" i="31"/>
  <c r="D13" i="31"/>
  <c r="C12" i="31"/>
  <c r="N21" i="31"/>
  <c r="N20" i="31"/>
  <c r="P23" i="31"/>
  <c r="H16" i="31"/>
  <c r="H15" i="31"/>
  <c r="E12" i="31"/>
  <c r="F12" i="31"/>
  <c r="D12" i="31"/>
  <c r="D11" i="31"/>
  <c r="C11" i="31"/>
  <c r="F57" i="28"/>
  <c r="G57" i="28"/>
  <c r="H57" i="28"/>
  <c r="E57" i="28"/>
  <c r="P55" i="28"/>
  <c r="O55" i="28"/>
  <c r="N55" i="28"/>
  <c r="M55" i="28"/>
  <c r="L55" i="28"/>
  <c r="K55" i="28"/>
  <c r="J55" i="28"/>
  <c r="I55" i="28"/>
  <c r="F55" i="28"/>
  <c r="G55" i="28"/>
  <c r="H55" i="28"/>
  <c r="E55" i="28"/>
  <c r="O54" i="28"/>
  <c r="N54" i="28"/>
  <c r="M54" i="28"/>
  <c r="L54" i="28"/>
  <c r="K54" i="28"/>
  <c r="J54" i="28"/>
  <c r="I54" i="28"/>
  <c r="F54" i="28"/>
  <c r="G54" i="28"/>
  <c r="H54" i="28"/>
  <c r="E54" i="28"/>
  <c r="D54" i="28"/>
  <c r="C54" i="28"/>
  <c r="B54" i="28"/>
  <c r="O53" i="28"/>
  <c r="N53" i="28"/>
  <c r="M53" i="28"/>
  <c r="L53" i="28"/>
  <c r="J53" i="28"/>
  <c r="I53" i="28"/>
  <c r="F53" i="28"/>
  <c r="G53" i="28"/>
  <c r="H53" i="28"/>
  <c r="E53" i="28"/>
  <c r="C53" i="28"/>
  <c r="O49" i="28"/>
  <c r="N49" i="28"/>
  <c r="M49" i="28"/>
  <c r="L49" i="28"/>
  <c r="J49" i="28"/>
  <c r="G49" i="28"/>
  <c r="H49" i="28"/>
  <c r="I49" i="28"/>
  <c r="F49" i="28"/>
  <c r="E49" i="28"/>
  <c r="O48" i="28"/>
  <c r="L48" i="28"/>
  <c r="J48" i="28"/>
  <c r="H48" i="28"/>
  <c r="F48" i="28"/>
  <c r="D48" i="28"/>
  <c r="C48" i="28"/>
  <c r="B48" i="28"/>
  <c r="P46" i="28"/>
  <c r="O46" i="28"/>
  <c r="J46" i="28"/>
  <c r="I46" i="28"/>
  <c r="P45" i="28"/>
  <c r="M45" i="28"/>
  <c r="I45" i="28"/>
  <c r="D45" i="28"/>
  <c r="C45" i="28"/>
  <c r="B45" i="28"/>
  <c r="J44" i="28"/>
  <c r="K44" i="28"/>
  <c r="O44" i="28"/>
  <c r="N44" i="28"/>
  <c r="M44" i="28"/>
  <c r="L44" i="28"/>
  <c r="I44" i="28"/>
  <c r="O24" i="28"/>
  <c r="J22" i="28"/>
  <c r="O59" i="25"/>
  <c r="N59" i="25"/>
  <c r="M59" i="25"/>
  <c r="K59" i="25"/>
  <c r="H59" i="25"/>
  <c r="F59" i="25"/>
  <c r="E59" i="25"/>
  <c r="D59" i="25"/>
  <c r="C59" i="25"/>
  <c r="B59" i="25"/>
  <c r="K57" i="25"/>
  <c r="L57" i="25"/>
  <c r="M57" i="25"/>
  <c r="N57" i="25"/>
  <c r="J57" i="25"/>
  <c r="I57" i="25"/>
  <c r="H57" i="25"/>
  <c r="G57" i="25"/>
  <c r="F57" i="25"/>
  <c r="E57" i="25"/>
  <c r="D57" i="25"/>
  <c r="O55" i="25"/>
  <c r="N55" i="25"/>
  <c r="M55" i="25"/>
  <c r="K55" i="25"/>
  <c r="H55" i="25"/>
  <c r="F55" i="25"/>
  <c r="E55" i="25"/>
  <c r="D55" i="25"/>
  <c r="C57" i="25"/>
  <c r="B57" i="25"/>
  <c r="C55" i="25"/>
  <c r="B55" i="25"/>
  <c r="N46" i="28" l="1"/>
  <c r="M46" i="28"/>
  <c r="L46" i="28"/>
  <c r="F46" i="28"/>
  <c r="G46" i="28"/>
  <c r="H46" i="28"/>
  <c r="E46" i="28"/>
  <c r="O45" i="28"/>
  <c r="N45" i="28"/>
  <c r="L45" i="28"/>
  <c r="K45" i="28"/>
  <c r="J45" i="28"/>
  <c r="G45" i="28"/>
  <c r="H45" i="28"/>
  <c r="F45" i="28"/>
  <c r="E45" i="28"/>
  <c r="C44" i="28"/>
  <c r="D44" i="28"/>
  <c r="G44" i="28"/>
  <c r="H44" i="28"/>
  <c r="F44" i="28"/>
  <c r="E44" i="28"/>
  <c r="P40" i="28"/>
  <c r="O40" i="28"/>
  <c r="N40" i="28"/>
  <c r="M40" i="28"/>
  <c r="L40" i="28"/>
  <c r="I40" i="28"/>
  <c r="G40" i="28"/>
  <c r="H40" i="28"/>
  <c r="F40" i="28"/>
  <c r="E40" i="28"/>
  <c r="L39" i="28"/>
  <c r="J39" i="28"/>
  <c r="F39" i="28"/>
  <c r="D39" i="28"/>
  <c r="C39" i="28"/>
  <c r="B39" i="28"/>
  <c r="O38" i="28"/>
  <c r="N38" i="28"/>
  <c r="M38" i="28"/>
  <c r="L38" i="28"/>
  <c r="J38" i="28"/>
  <c r="I38" i="28"/>
  <c r="H38" i="28"/>
  <c r="G38" i="28"/>
  <c r="F38" i="28"/>
  <c r="E38" i="28"/>
  <c r="C38" i="28"/>
  <c r="P36" i="28"/>
  <c r="O36" i="28"/>
  <c r="N36" i="28"/>
  <c r="M36" i="28"/>
  <c r="L36" i="28"/>
  <c r="J36" i="28"/>
  <c r="I36" i="28"/>
  <c r="H36" i="28"/>
  <c r="G36" i="28"/>
  <c r="F36" i="28"/>
  <c r="E36" i="28"/>
  <c r="M35" i="28"/>
  <c r="I35" i="28"/>
  <c r="B35" i="28"/>
  <c r="C35" i="28"/>
  <c r="D35" i="28"/>
  <c r="N34" i="28"/>
  <c r="M34" i="28"/>
  <c r="L34" i="28"/>
  <c r="I34" i="28"/>
  <c r="G34" i="28"/>
  <c r="E34" i="28"/>
  <c r="D34" i="28"/>
  <c r="C34" i="28"/>
  <c r="P32" i="28"/>
  <c r="N32" i="28"/>
  <c r="M32" i="28"/>
  <c r="L32" i="28"/>
  <c r="K32" i="28"/>
  <c r="J32" i="28"/>
  <c r="I32" i="28"/>
  <c r="H32" i="28"/>
  <c r="G32" i="28"/>
  <c r="F32" i="28"/>
  <c r="E32" i="28"/>
  <c r="D32" i="28"/>
  <c r="C31" i="28"/>
  <c r="B31" i="28"/>
  <c r="O29" i="28"/>
  <c r="O27" i="28"/>
  <c r="N27" i="28"/>
  <c r="P27" i="28"/>
  <c r="M27" i="28"/>
  <c r="L29" i="28"/>
  <c r="L27" i="28"/>
  <c r="K29" i="28"/>
  <c r="K27" i="28"/>
  <c r="J29" i="28"/>
  <c r="J27" i="28"/>
  <c r="I27" i="28"/>
  <c r="H29" i="28"/>
  <c r="H27" i="28"/>
  <c r="G27" i="28"/>
  <c r="F29" i="28"/>
  <c r="F27" i="28"/>
  <c r="E27" i="28"/>
  <c r="C26" i="28"/>
  <c r="B26" i="28"/>
  <c r="N24" i="28"/>
  <c r="M24" i="28"/>
  <c r="L24" i="28"/>
  <c r="K24" i="28"/>
  <c r="F24" i="28"/>
  <c r="E24" i="28"/>
  <c r="H24" i="28"/>
  <c r="G24" i="28"/>
  <c r="P24" i="28"/>
  <c r="L23" i="28"/>
  <c r="J23" i="28"/>
  <c r="I23" i="28"/>
  <c r="H23" i="28"/>
  <c r="G23" i="28"/>
  <c r="F23" i="28"/>
  <c r="E23" i="28"/>
  <c r="D23" i="28"/>
  <c r="C23" i="28"/>
  <c r="B23" i="28"/>
  <c r="O22" i="28"/>
  <c r="N22" i="28"/>
  <c r="M22" i="28"/>
  <c r="L22" i="28"/>
  <c r="K22" i="28"/>
  <c r="I22" i="28"/>
  <c r="H22" i="28"/>
  <c r="G22" i="28"/>
  <c r="F22" i="28"/>
  <c r="E22" i="28"/>
  <c r="D22" i="28"/>
  <c r="N20" i="28"/>
  <c r="M20" i="28"/>
  <c r="K20" i="28"/>
  <c r="L20" i="28"/>
  <c r="I20" i="28"/>
  <c r="H20" i="28"/>
  <c r="G20" i="28"/>
  <c r="F20" i="28"/>
  <c r="E20" i="28"/>
  <c r="O18" i="28"/>
  <c r="N18" i="28"/>
  <c r="M18" i="28"/>
  <c r="L18" i="28"/>
  <c r="K18" i="28"/>
  <c r="I18" i="28"/>
  <c r="J18" i="28"/>
  <c r="H18" i="28"/>
  <c r="G18" i="28"/>
  <c r="F18" i="28"/>
  <c r="E18" i="28"/>
  <c r="C18" i="28"/>
  <c r="N19" i="28"/>
  <c r="L19" i="28"/>
  <c r="J19" i="28"/>
  <c r="I19" i="28"/>
  <c r="H19" i="28"/>
  <c r="G19" i="28"/>
  <c r="F19" i="28"/>
  <c r="E19" i="28"/>
  <c r="D19" i="28"/>
  <c r="C19" i="28"/>
  <c r="B19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L14" i="28"/>
  <c r="H14" i="28"/>
  <c r="G14" i="28"/>
  <c r="F14" i="28"/>
  <c r="E14" i="28"/>
  <c r="O53" i="25"/>
  <c r="N53" i="25"/>
  <c r="M53" i="25"/>
  <c r="K53" i="25"/>
  <c r="F53" i="25"/>
  <c r="H53" i="25"/>
  <c r="E53" i="25"/>
  <c r="D53" i="25"/>
  <c r="L52" i="25"/>
  <c r="J52" i="25"/>
  <c r="I52" i="25"/>
  <c r="G52" i="25"/>
  <c r="C52" i="25"/>
  <c r="D49" i="25"/>
  <c r="C49" i="25"/>
  <c r="B49" i="25"/>
  <c r="D46" i="25"/>
  <c r="C46" i="25"/>
  <c r="B46" i="25"/>
  <c r="O44" i="25"/>
  <c r="N44" i="25"/>
  <c r="M44" i="25"/>
  <c r="K44" i="25"/>
  <c r="H44" i="25"/>
  <c r="F44" i="25"/>
  <c r="E44" i="25"/>
  <c r="N43" i="25"/>
  <c r="K43" i="25"/>
  <c r="J43" i="25"/>
  <c r="I43" i="25"/>
  <c r="H43" i="25"/>
  <c r="G43" i="25"/>
  <c r="C43" i="25"/>
  <c r="B43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O39" i="25"/>
  <c r="N39" i="25"/>
  <c r="M39" i="25"/>
  <c r="K39" i="25"/>
  <c r="H39" i="25"/>
  <c r="F39" i="25"/>
  <c r="E39" i="25"/>
  <c r="D38" i="25"/>
  <c r="C38" i="25"/>
  <c r="N36" i="25"/>
  <c r="M36" i="25"/>
  <c r="L36" i="25"/>
  <c r="K36" i="25"/>
  <c r="J36" i="25"/>
  <c r="I36" i="25"/>
  <c r="H36" i="25"/>
  <c r="G36" i="25"/>
  <c r="F36" i="25"/>
  <c r="E36" i="25"/>
  <c r="D36" i="25"/>
  <c r="C36" i="25"/>
  <c r="O34" i="25"/>
  <c r="N34" i="25"/>
  <c r="M34" i="25"/>
  <c r="K34" i="25"/>
  <c r="H34" i="25"/>
  <c r="F34" i="25"/>
  <c r="E34" i="25"/>
  <c r="O27" i="25"/>
  <c r="N27" i="25"/>
  <c r="M27" i="25"/>
  <c r="L27" i="25"/>
  <c r="K27" i="25"/>
  <c r="I27" i="25"/>
  <c r="J27" i="25"/>
  <c r="H27" i="25"/>
  <c r="G27" i="25"/>
  <c r="F27" i="25"/>
  <c r="E27" i="25"/>
  <c r="O24" i="25"/>
  <c r="N24" i="25"/>
  <c r="M24" i="25"/>
  <c r="K24" i="25"/>
  <c r="H24" i="25"/>
  <c r="F24" i="25"/>
  <c r="E24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O21" i="25"/>
  <c r="N21" i="25"/>
  <c r="M21" i="25"/>
  <c r="K21" i="25"/>
  <c r="H21" i="25"/>
  <c r="F21" i="25"/>
  <c r="E21" i="25"/>
  <c r="N20" i="25"/>
  <c r="M20" i="25"/>
  <c r="L20" i="25"/>
  <c r="K20" i="25"/>
  <c r="J20" i="25"/>
  <c r="I20" i="25"/>
  <c r="H20" i="25"/>
  <c r="F20" i="25"/>
  <c r="E20" i="25"/>
  <c r="D20" i="25"/>
  <c r="C20" i="25"/>
  <c r="B20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O14" i="25"/>
  <c r="N14" i="25"/>
  <c r="M14" i="25"/>
  <c r="K14" i="25"/>
  <c r="H14" i="25"/>
  <c r="F14" i="25"/>
  <c r="E14" i="25"/>
  <c r="D14" i="25"/>
  <c r="C14" i="25"/>
  <c r="B14" i="25"/>
  <c r="N12" i="25"/>
  <c r="K12" i="25"/>
  <c r="O12" i="25"/>
  <c r="M12" i="25"/>
  <c r="H12" i="25"/>
  <c r="F12" i="25"/>
  <c r="E12" i="25"/>
  <c r="D12" i="25"/>
  <c r="C12" i="25"/>
  <c r="B12" i="25"/>
  <c r="B14" i="22" l="1"/>
  <c r="B16" i="22"/>
  <c r="B18" i="22"/>
  <c r="B20" i="22"/>
  <c r="B22" i="22"/>
  <c r="B24" i="22"/>
  <c r="B26" i="22"/>
  <c r="B28" i="22"/>
  <c r="B30" i="22"/>
  <c r="E18" i="30" l="1"/>
  <c r="G81" i="21" l="1"/>
  <c r="E81" i="21"/>
  <c r="C81" i="21"/>
  <c r="H71" i="6"/>
  <c r="F71" i="6"/>
  <c r="D71" i="6"/>
  <c r="H42" i="28"/>
  <c r="N42" i="28"/>
  <c r="E42" i="28"/>
  <c r="C61" i="28" l="1"/>
  <c r="C59" i="28"/>
  <c r="H19" i="15" l="1"/>
  <c r="I21" i="15"/>
  <c r="I20" i="15"/>
  <c r="I19" i="15"/>
  <c r="J22" i="15"/>
  <c r="K26" i="15"/>
  <c r="K25" i="15"/>
  <c r="K24" i="15"/>
  <c r="K23" i="15"/>
  <c r="F34" i="15" l="1"/>
  <c r="D21" i="33" l="1"/>
  <c r="C21" i="33"/>
  <c r="B21" i="33"/>
  <c r="T18" i="30" l="1"/>
  <c r="W18" i="30"/>
  <c r="B13" i="12" l="1"/>
  <c r="F29" i="25" l="1"/>
  <c r="C18" i="4" l="1"/>
  <c r="C16" i="4" l="1"/>
  <c r="U25" i="30" l="1"/>
  <c r="Q25" i="30"/>
  <c r="L42" i="28" l="1"/>
  <c r="G42" i="28"/>
  <c r="F18" i="25" l="1"/>
  <c r="D70" i="33" l="1"/>
  <c r="C70" i="33"/>
  <c r="B70" i="33"/>
  <c r="D68" i="33"/>
  <c r="C68" i="33"/>
  <c r="B68" i="33"/>
  <c r="D52" i="33"/>
  <c r="C52" i="33"/>
  <c r="B52" i="33"/>
  <c r="D60" i="33"/>
  <c r="C60" i="33"/>
  <c r="B60" i="33"/>
  <c r="D66" i="33"/>
  <c r="C66" i="33"/>
  <c r="B66" i="33"/>
  <c r="D64" i="33"/>
  <c r="C64" i="33"/>
  <c r="B64" i="33"/>
  <c r="D62" i="33"/>
  <c r="C62" i="33"/>
  <c r="B62" i="33"/>
  <c r="D58" i="33"/>
  <c r="C58" i="33"/>
  <c r="B58" i="33"/>
  <c r="D56" i="33"/>
  <c r="C56" i="33"/>
  <c r="B56" i="33"/>
  <c r="D54" i="33"/>
  <c r="C54" i="33"/>
  <c r="B54" i="33"/>
  <c r="D50" i="33"/>
  <c r="C50" i="33"/>
  <c r="B50" i="33"/>
  <c r="D48" i="33"/>
  <c r="C48" i="33"/>
  <c r="B48" i="33"/>
  <c r="D46" i="33"/>
  <c r="C46" i="33"/>
  <c r="B46" i="33"/>
  <c r="D39" i="33"/>
  <c r="C39" i="33"/>
  <c r="B39" i="33"/>
  <c r="D37" i="33"/>
  <c r="C37" i="33"/>
  <c r="B37" i="33"/>
  <c r="D15" i="33"/>
  <c r="B15" i="33"/>
  <c r="D13" i="33"/>
  <c r="C13" i="33"/>
  <c r="B13" i="33"/>
  <c r="D11" i="33"/>
  <c r="C11" i="33"/>
  <c r="B11" i="33"/>
  <c r="D17" i="33"/>
  <c r="C17" i="33"/>
  <c r="B17" i="33"/>
  <c r="D19" i="33"/>
  <c r="C19" i="33"/>
  <c r="D23" i="33"/>
  <c r="C23" i="33"/>
  <c r="B23" i="33"/>
  <c r="D25" i="33"/>
  <c r="B25" i="33"/>
  <c r="D35" i="33"/>
  <c r="C35" i="33"/>
  <c r="B35" i="33"/>
  <c r="D27" i="33"/>
  <c r="C27" i="33"/>
  <c r="B27" i="33"/>
  <c r="D33" i="33"/>
  <c r="C33" i="33"/>
  <c r="B33" i="33"/>
  <c r="D31" i="33"/>
  <c r="C31" i="33"/>
  <c r="B31" i="33"/>
  <c r="D29" i="33"/>
  <c r="C29" i="33"/>
  <c r="B29" i="33"/>
  <c r="Y44" i="30" l="1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B46" i="30"/>
  <c r="B45" i="30"/>
  <c r="B43" i="30"/>
  <c r="B42" i="30"/>
  <c r="K40" i="30"/>
  <c r="V39" i="30"/>
  <c r="Q39" i="30"/>
  <c r="M39" i="30"/>
  <c r="G39" i="30"/>
  <c r="B39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K33" i="30"/>
  <c r="J33" i="30"/>
  <c r="H33" i="30"/>
  <c r="F33" i="30"/>
  <c r="D33" i="30"/>
  <c r="B33" i="30"/>
  <c r="X34" i="30"/>
  <c r="V34" i="30"/>
  <c r="U34" i="30"/>
  <c r="T34" i="30"/>
  <c r="S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U28" i="30"/>
  <c r="Q28" i="30"/>
  <c r="M28" i="30"/>
  <c r="G28" i="30"/>
  <c r="B28" i="30"/>
  <c r="B27" i="30"/>
  <c r="K25" i="30"/>
  <c r="V24" i="30"/>
  <c r="Q24" i="30"/>
  <c r="M24" i="30"/>
  <c r="G24" i="30"/>
  <c r="B24" i="30"/>
  <c r="B23" i="30"/>
  <c r="B22" i="30"/>
  <c r="Y18" i="30"/>
  <c r="V18" i="30"/>
  <c r="S18" i="30"/>
  <c r="Q18" i="30"/>
  <c r="O18" i="30"/>
  <c r="M18" i="30"/>
  <c r="K18" i="30"/>
  <c r="J18" i="30"/>
  <c r="H18" i="30"/>
  <c r="F18" i="30"/>
  <c r="D18" i="30"/>
  <c r="C18" i="30"/>
  <c r="B18" i="30"/>
  <c r="B17" i="30"/>
  <c r="B16" i="30"/>
  <c r="B15" i="30"/>
  <c r="B14" i="30"/>
  <c r="B13" i="30"/>
  <c r="B12" i="30"/>
  <c r="B11" i="30"/>
  <c r="B10" i="30"/>
  <c r="C20" i="4" l="1"/>
  <c r="C21" i="4"/>
  <c r="C19" i="4"/>
  <c r="C12" i="4"/>
  <c r="C13" i="4"/>
  <c r="C10" i="4"/>
  <c r="P61" i="28" l="1"/>
  <c r="O61" i="28"/>
  <c r="N61" i="28"/>
  <c r="M61" i="28"/>
  <c r="L61" i="28"/>
  <c r="I61" i="28"/>
  <c r="J61" i="28"/>
  <c r="H61" i="28"/>
  <c r="F61" i="28"/>
  <c r="G61" i="28"/>
  <c r="E61" i="28"/>
  <c r="D61" i="28"/>
  <c r="B61" i="28"/>
  <c r="P59" i="28"/>
  <c r="O59" i="28"/>
  <c r="N59" i="28"/>
  <c r="M59" i="28"/>
  <c r="L59" i="28"/>
  <c r="K59" i="28"/>
  <c r="I59" i="28"/>
  <c r="H59" i="28"/>
  <c r="J59" i="28"/>
  <c r="F59" i="28"/>
  <c r="G59" i="28"/>
  <c r="E59" i="28"/>
  <c r="D59" i="28"/>
  <c r="B59" i="28"/>
  <c r="C83" i="21" l="1"/>
  <c r="G73" i="6" l="1"/>
  <c r="D75" i="6"/>
  <c r="C75" i="6"/>
  <c r="G40" i="6"/>
  <c r="F42" i="21"/>
  <c r="C73" i="22"/>
  <c r="F71" i="22"/>
  <c r="F39" i="22"/>
  <c r="E15" i="15" l="1"/>
  <c r="H86" i="21" l="1"/>
  <c r="G86" i="21"/>
  <c r="F86" i="21"/>
  <c r="E86" i="21"/>
  <c r="D86" i="21"/>
  <c r="C86" i="21"/>
  <c r="H83" i="21"/>
  <c r="G83" i="21"/>
  <c r="F83" i="21"/>
  <c r="E83" i="21"/>
  <c r="D83" i="21"/>
  <c r="H79" i="21"/>
  <c r="G79" i="21"/>
  <c r="F79" i="21"/>
  <c r="E79" i="21"/>
  <c r="D79" i="21"/>
  <c r="C79" i="21"/>
  <c r="H78" i="21"/>
  <c r="F78" i="21"/>
  <c r="D78" i="21"/>
  <c r="H76" i="21"/>
  <c r="G76" i="21"/>
  <c r="F76" i="21"/>
  <c r="E76" i="21"/>
  <c r="D76" i="21"/>
  <c r="C76" i="21"/>
  <c r="G75" i="21"/>
  <c r="F75" i="21"/>
  <c r="D75" i="21"/>
  <c r="C75" i="21"/>
  <c r="H73" i="21"/>
  <c r="G73" i="21"/>
  <c r="F73" i="21"/>
  <c r="E73" i="21"/>
  <c r="D73" i="21"/>
  <c r="F72" i="21"/>
  <c r="E72" i="21"/>
  <c r="D72" i="21"/>
  <c r="H66" i="21"/>
  <c r="G66" i="21"/>
  <c r="F66" i="21"/>
  <c r="E66" i="21"/>
  <c r="D66" i="21"/>
  <c r="C66" i="21"/>
  <c r="D65" i="21"/>
  <c r="H63" i="21"/>
  <c r="G63" i="21"/>
  <c r="F63" i="21"/>
  <c r="E63" i="21"/>
  <c r="D63" i="21"/>
  <c r="C63" i="21"/>
  <c r="H62" i="21"/>
  <c r="D62" i="21"/>
  <c r="C62" i="21"/>
  <c r="H60" i="21"/>
  <c r="G60" i="21"/>
  <c r="F60" i="21"/>
  <c r="E60" i="21"/>
  <c r="D60" i="21"/>
  <c r="C60" i="21"/>
  <c r="H56" i="21"/>
  <c r="G56" i="21"/>
  <c r="F56" i="21"/>
  <c r="E56" i="21"/>
  <c r="D56" i="21"/>
  <c r="C56" i="21"/>
  <c r="E55" i="21"/>
  <c r="D55" i="21"/>
  <c r="C55" i="21"/>
  <c r="H53" i="21"/>
  <c r="G53" i="21"/>
  <c r="F53" i="21"/>
  <c r="E53" i="21"/>
  <c r="D53" i="21"/>
  <c r="C53" i="21"/>
  <c r="D52" i="21"/>
  <c r="H50" i="21"/>
  <c r="G50" i="21"/>
  <c r="F50" i="21"/>
  <c r="E50" i="21"/>
  <c r="D50" i="21"/>
  <c r="C50" i="21"/>
  <c r="H42" i="21"/>
  <c r="G42" i="21"/>
  <c r="E42" i="21"/>
  <c r="D42" i="21"/>
  <c r="C42" i="21"/>
  <c r="H40" i="21"/>
  <c r="G40" i="21"/>
  <c r="F40" i="21"/>
  <c r="E40" i="21"/>
  <c r="D40" i="21"/>
  <c r="C40" i="21"/>
  <c r="H38" i="21"/>
  <c r="G38" i="21"/>
  <c r="F38" i="21"/>
  <c r="E38" i="21"/>
  <c r="D38" i="21"/>
  <c r="C38" i="21"/>
  <c r="G36" i="21"/>
  <c r="F36" i="21"/>
  <c r="E36" i="21"/>
  <c r="D36" i="21"/>
  <c r="H35" i="21"/>
  <c r="G35" i="21"/>
  <c r="F35" i="21"/>
  <c r="E35" i="21"/>
  <c r="D35" i="21"/>
  <c r="C35" i="21"/>
  <c r="F33" i="21"/>
  <c r="C33" i="21"/>
  <c r="H32" i="21"/>
  <c r="G32" i="21"/>
  <c r="F32" i="21"/>
  <c r="E32" i="21"/>
  <c r="D32" i="21"/>
  <c r="C32" i="21"/>
  <c r="H30" i="21"/>
  <c r="G30" i="21"/>
  <c r="F30" i="21"/>
  <c r="E30" i="21"/>
  <c r="D30" i="21"/>
  <c r="C30" i="21"/>
  <c r="H28" i="21"/>
  <c r="G28" i="21"/>
  <c r="F28" i="21"/>
  <c r="E28" i="21"/>
  <c r="D28" i="21"/>
  <c r="C28" i="21"/>
  <c r="H26" i="21"/>
  <c r="G26" i="21"/>
  <c r="F26" i="21"/>
  <c r="E26" i="21"/>
  <c r="D26" i="21"/>
  <c r="C26" i="21"/>
  <c r="H24" i="21"/>
  <c r="G24" i="21"/>
  <c r="F24" i="21"/>
  <c r="E24" i="21"/>
  <c r="D24" i="21"/>
  <c r="C24" i="21"/>
  <c r="H22" i="21"/>
  <c r="G22" i="21"/>
  <c r="F22" i="21"/>
  <c r="E22" i="21"/>
  <c r="D22" i="21"/>
  <c r="C22" i="21"/>
  <c r="H20" i="21"/>
  <c r="G20" i="21"/>
  <c r="F20" i="21"/>
  <c r="E20" i="21"/>
  <c r="D20" i="21"/>
  <c r="C20" i="21"/>
  <c r="H18" i="21"/>
  <c r="G18" i="21"/>
  <c r="F18" i="21"/>
  <c r="E18" i="21"/>
  <c r="D18" i="21"/>
  <c r="C18" i="21"/>
  <c r="H16" i="21"/>
  <c r="G16" i="21"/>
  <c r="F16" i="21"/>
  <c r="D16" i="21"/>
  <c r="C16" i="21"/>
  <c r="H14" i="21"/>
  <c r="G14" i="21"/>
  <c r="F14" i="21"/>
  <c r="E14" i="21"/>
  <c r="D14" i="21"/>
  <c r="C14" i="21"/>
  <c r="H12" i="21"/>
  <c r="G12" i="21"/>
  <c r="F12" i="21"/>
  <c r="E12" i="21"/>
  <c r="D12" i="21"/>
  <c r="C12" i="21"/>
  <c r="H73" i="22"/>
  <c r="G73" i="22"/>
  <c r="F73" i="22"/>
  <c r="E73" i="22"/>
  <c r="D73" i="22"/>
  <c r="B73" i="22"/>
  <c r="H71" i="22"/>
  <c r="G71" i="22"/>
  <c r="E71" i="22"/>
  <c r="D71" i="22"/>
  <c r="C71" i="22"/>
  <c r="B71" i="22"/>
  <c r="H68" i="22"/>
  <c r="G68" i="22"/>
  <c r="F68" i="22"/>
  <c r="E68" i="22"/>
  <c r="D68" i="22"/>
  <c r="C68" i="22"/>
  <c r="G62" i="22"/>
  <c r="F62" i="22"/>
  <c r="E62" i="22"/>
  <c r="D62" i="22"/>
  <c r="C62" i="22"/>
  <c r="H60" i="22"/>
  <c r="G60" i="22"/>
  <c r="F60" i="22"/>
  <c r="E60" i="22"/>
  <c r="D60" i="22"/>
  <c r="C60" i="22"/>
  <c r="B60" i="22"/>
  <c r="H58" i="22"/>
  <c r="G58" i="22"/>
  <c r="F58" i="22"/>
  <c r="E58" i="22"/>
  <c r="D58" i="22"/>
  <c r="C58" i="22"/>
  <c r="H56" i="22"/>
  <c r="G56" i="22"/>
  <c r="F56" i="22"/>
  <c r="E56" i="22"/>
  <c r="D56" i="22"/>
  <c r="C56" i="22"/>
  <c r="B56" i="22"/>
  <c r="H54" i="22"/>
  <c r="G54" i="22"/>
  <c r="F54" i="22"/>
  <c r="E54" i="22"/>
  <c r="D54" i="22"/>
  <c r="C54" i="22"/>
  <c r="B54" i="22"/>
  <c r="H52" i="22"/>
  <c r="G52" i="22"/>
  <c r="F52" i="22"/>
  <c r="E52" i="22"/>
  <c r="D52" i="22"/>
  <c r="C52" i="22"/>
  <c r="B52" i="22"/>
  <c r="H50" i="22"/>
  <c r="G50" i="22"/>
  <c r="F50" i="22"/>
  <c r="E50" i="22"/>
  <c r="D50" i="22"/>
  <c r="C50" i="22"/>
  <c r="B50" i="22"/>
  <c r="H48" i="22"/>
  <c r="G48" i="22"/>
  <c r="F48" i="22"/>
  <c r="E48" i="22"/>
  <c r="D48" i="22"/>
  <c r="C48" i="22"/>
  <c r="B48" i="22"/>
  <c r="H39" i="22"/>
  <c r="G39" i="22"/>
  <c r="E39" i="22"/>
  <c r="D39" i="22"/>
  <c r="C39" i="22"/>
  <c r="B39" i="22"/>
  <c r="H37" i="22"/>
  <c r="G37" i="22"/>
  <c r="F37" i="22"/>
  <c r="E37" i="22"/>
  <c r="D37" i="22"/>
  <c r="C37" i="22"/>
  <c r="B37" i="22"/>
  <c r="H34" i="22"/>
  <c r="G34" i="22"/>
  <c r="F34" i="22"/>
  <c r="E34" i="22"/>
  <c r="D34" i="22"/>
  <c r="C34" i="22"/>
  <c r="F32" i="22"/>
  <c r="C32" i="22"/>
  <c r="B32" i="22"/>
  <c r="H30" i="22"/>
  <c r="G30" i="22"/>
  <c r="F30" i="22"/>
  <c r="E30" i="22"/>
  <c r="D30" i="22"/>
  <c r="C30" i="22"/>
  <c r="H28" i="22"/>
  <c r="G28" i="22"/>
  <c r="F28" i="22"/>
  <c r="E28" i="22"/>
  <c r="D28" i="22"/>
  <c r="H22" i="22"/>
  <c r="G22" i="22"/>
  <c r="F22" i="22"/>
  <c r="E22" i="22"/>
  <c r="D22" i="22"/>
  <c r="C22" i="22"/>
  <c r="H16" i="22"/>
  <c r="G16" i="22"/>
  <c r="D16" i="22"/>
  <c r="C16" i="22"/>
  <c r="H14" i="22"/>
  <c r="G14" i="22"/>
  <c r="F14" i="22"/>
  <c r="E14" i="22"/>
  <c r="D14" i="22"/>
  <c r="C14" i="22"/>
  <c r="H12" i="22"/>
  <c r="G12" i="22"/>
  <c r="F12" i="22"/>
  <c r="E12" i="22"/>
  <c r="D12" i="22"/>
  <c r="C12" i="22"/>
  <c r="I51" i="15"/>
  <c r="G49" i="15"/>
  <c r="G48" i="15"/>
  <c r="E46" i="15"/>
  <c r="E45" i="15"/>
  <c r="C44" i="15"/>
  <c r="F35" i="15" l="1"/>
  <c r="G19" i="15"/>
  <c r="G18" i="15"/>
  <c r="F15" i="15"/>
  <c r="E14" i="15"/>
  <c r="E13" i="15"/>
  <c r="E12" i="15"/>
  <c r="C13" i="15"/>
  <c r="B11" i="15"/>
  <c r="I75" i="6"/>
  <c r="H75" i="6"/>
  <c r="G75" i="6"/>
  <c r="F75" i="6"/>
  <c r="E75" i="6"/>
  <c r="B75" i="6"/>
  <c r="I73" i="6"/>
  <c r="H73" i="6"/>
  <c r="F73" i="6"/>
  <c r="E73" i="6"/>
  <c r="D73" i="6"/>
  <c r="C73" i="6"/>
  <c r="B73" i="6"/>
  <c r="I69" i="6"/>
  <c r="H69" i="6"/>
  <c r="G69" i="6"/>
  <c r="F69" i="6"/>
  <c r="E69" i="6"/>
  <c r="D69" i="6"/>
  <c r="C69" i="6"/>
  <c r="B69" i="6"/>
  <c r="I67" i="6"/>
  <c r="H67" i="6"/>
  <c r="G67" i="6"/>
  <c r="F67" i="6"/>
  <c r="E67" i="6"/>
  <c r="D67" i="6"/>
  <c r="C67" i="6"/>
  <c r="B67" i="6"/>
  <c r="I65" i="6"/>
  <c r="H65" i="6"/>
  <c r="G65" i="6"/>
  <c r="F65" i="6"/>
  <c r="E65" i="6"/>
  <c r="D65" i="6"/>
  <c r="C65" i="6"/>
  <c r="B65" i="6"/>
  <c r="I63" i="6"/>
  <c r="H63" i="6"/>
  <c r="G63" i="6"/>
  <c r="F63" i="6"/>
  <c r="E63" i="6"/>
  <c r="D63" i="6"/>
  <c r="C63" i="6"/>
  <c r="B63" i="6"/>
  <c r="I61" i="6"/>
  <c r="H61" i="6"/>
  <c r="G61" i="6"/>
  <c r="F61" i="6"/>
  <c r="E61" i="6"/>
  <c r="D61" i="6"/>
  <c r="C61" i="6"/>
  <c r="B61" i="6"/>
  <c r="I59" i="6"/>
  <c r="H59" i="6"/>
  <c r="G59" i="6"/>
  <c r="F59" i="6"/>
  <c r="E59" i="6"/>
  <c r="D59" i="6"/>
  <c r="C59" i="6"/>
  <c r="B59" i="6"/>
  <c r="I57" i="6"/>
  <c r="H57" i="6"/>
  <c r="G57" i="6"/>
  <c r="F57" i="6"/>
  <c r="E57" i="6"/>
  <c r="D57" i="6"/>
  <c r="C57" i="6"/>
  <c r="B57" i="6"/>
  <c r="I55" i="6"/>
  <c r="H55" i="6"/>
  <c r="G55" i="6"/>
  <c r="F55" i="6"/>
  <c r="E55" i="6"/>
  <c r="D55" i="6"/>
  <c r="C55" i="6"/>
  <c r="B55" i="6"/>
  <c r="I53" i="6"/>
  <c r="H53" i="6"/>
  <c r="G53" i="6"/>
  <c r="F53" i="6"/>
  <c r="E53" i="6"/>
  <c r="D53" i="6"/>
  <c r="C53" i="6"/>
  <c r="B53" i="6"/>
  <c r="I51" i="6"/>
  <c r="H51" i="6"/>
  <c r="G51" i="6"/>
  <c r="F51" i="6"/>
  <c r="E51" i="6"/>
  <c r="D51" i="6"/>
  <c r="C51" i="6"/>
  <c r="B51" i="6"/>
  <c r="H49" i="6"/>
  <c r="G49" i="6"/>
  <c r="F49" i="6"/>
  <c r="E49" i="6"/>
  <c r="D49" i="6"/>
  <c r="C49" i="6"/>
  <c r="B49" i="6"/>
  <c r="I40" i="6"/>
  <c r="H40" i="6"/>
  <c r="F40" i="6"/>
  <c r="E40" i="6"/>
  <c r="D40" i="6"/>
  <c r="C40" i="6"/>
  <c r="B40" i="6"/>
  <c r="I38" i="6"/>
  <c r="H38" i="6"/>
  <c r="G38" i="6"/>
  <c r="F38" i="6"/>
  <c r="E38" i="6"/>
  <c r="D38" i="6"/>
  <c r="B38" i="6"/>
  <c r="I36" i="6"/>
  <c r="H36" i="6"/>
  <c r="G36" i="6"/>
  <c r="F36" i="6"/>
  <c r="E36" i="6"/>
  <c r="D36" i="6"/>
  <c r="I33" i="6"/>
  <c r="H33" i="6"/>
  <c r="G33" i="6"/>
  <c r="F33" i="6"/>
  <c r="E33" i="6"/>
  <c r="D33" i="6"/>
  <c r="C33" i="6"/>
  <c r="B33" i="6"/>
  <c r="I31" i="6"/>
  <c r="H31" i="6"/>
  <c r="G31" i="6"/>
  <c r="F31" i="6"/>
  <c r="E31" i="6"/>
  <c r="D31" i="6"/>
  <c r="C31" i="6"/>
  <c r="B31" i="6"/>
  <c r="I28" i="6"/>
  <c r="H28" i="6"/>
  <c r="G28" i="6"/>
  <c r="F28" i="6"/>
  <c r="E28" i="6"/>
  <c r="D28" i="6"/>
  <c r="C28" i="6"/>
  <c r="B28" i="6"/>
  <c r="I26" i="6"/>
  <c r="H26" i="6"/>
  <c r="G26" i="6"/>
  <c r="F26" i="6"/>
  <c r="E26" i="6"/>
  <c r="D26" i="6"/>
  <c r="C26" i="6"/>
  <c r="B26" i="6"/>
  <c r="I24" i="6"/>
  <c r="H24" i="6"/>
  <c r="G24" i="6"/>
  <c r="F24" i="6"/>
  <c r="E24" i="6"/>
  <c r="D24" i="6"/>
  <c r="C24" i="6"/>
  <c r="B24" i="6"/>
  <c r="I22" i="6"/>
  <c r="H22" i="6"/>
  <c r="G22" i="6"/>
  <c r="F22" i="6"/>
  <c r="E22" i="6"/>
  <c r="D22" i="6"/>
  <c r="C22" i="6"/>
  <c r="B22" i="6"/>
  <c r="I20" i="6"/>
  <c r="H20" i="6"/>
  <c r="G20" i="6"/>
  <c r="F20" i="6"/>
  <c r="E20" i="6"/>
  <c r="D20" i="6"/>
  <c r="C20" i="6"/>
  <c r="B20" i="6"/>
  <c r="I18" i="6"/>
  <c r="H18" i="6"/>
  <c r="G18" i="6"/>
  <c r="F18" i="6"/>
  <c r="E18" i="6"/>
  <c r="D18" i="6"/>
  <c r="B18" i="6"/>
  <c r="I16" i="6"/>
  <c r="H16" i="6"/>
  <c r="G16" i="6"/>
  <c r="F16" i="6"/>
  <c r="E16" i="6" l="1"/>
  <c r="D16" i="6"/>
  <c r="C16" i="6"/>
  <c r="B16" i="6"/>
  <c r="I14" i="6"/>
  <c r="H14" i="6"/>
  <c r="G14" i="6"/>
  <c r="F14" i="6"/>
  <c r="E14" i="6"/>
  <c r="D14" i="6"/>
  <c r="B14" i="6"/>
  <c r="I12" i="6"/>
  <c r="H12" i="6"/>
  <c r="G12" i="6"/>
  <c r="F12" i="6"/>
  <c r="E12" i="6"/>
  <c r="D12" i="6"/>
  <c r="B12" i="6"/>
  <c r="I49" i="6" l="1"/>
  <c r="C38" i="6"/>
  <c r="C18" i="6"/>
  <c r="C73" i="21"/>
  <c r="C68" i="21"/>
  <c r="C58" i="21"/>
  <c r="E16" i="21"/>
  <c r="B68" i="22" l="1"/>
  <c r="B62" i="22"/>
  <c r="B58" i="22"/>
  <c r="E16" i="22"/>
  <c r="F16" i="22"/>
  <c r="C28" i="22" l="1"/>
  <c r="H20" i="22"/>
  <c r="E51" i="28" l="1"/>
  <c r="C35" i="6" l="1"/>
  <c r="B35" i="6"/>
  <c r="B35" i="22"/>
  <c r="C25" i="33" l="1"/>
  <c r="C15" i="33"/>
  <c r="Y21" i="30" l="1"/>
  <c r="Y19" i="30"/>
  <c r="W21" i="30"/>
  <c r="W20" i="30"/>
  <c r="V21" i="30"/>
  <c r="V20" i="30"/>
  <c r="T21" i="30"/>
  <c r="T20" i="30"/>
  <c r="T19" i="30"/>
  <c r="R20" i="30"/>
  <c r="R19" i="30"/>
  <c r="Q19" i="30"/>
  <c r="N21" i="30"/>
  <c r="M19" i="30"/>
  <c r="K21" i="30"/>
  <c r="H19" i="30"/>
  <c r="F21" i="30"/>
  <c r="F20" i="30"/>
  <c r="D20" i="30"/>
  <c r="D19" i="30"/>
  <c r="B21" i="30"/>
  <c r="F44" i="30" l="1"/>
  <c r="E44" i="30"/>
  <c r="D44" i="30"/>
  <c r="C44" i="30"/>
  <c r="Y41" i="30"/>
  <c r="U40" i="30"/>
  <c r="Q40" i="30"/>
  <c r="T31" i="30"/>
  <c r="M31" i="30"/>
  <c r="H31" i="30"/>
  <c r="K30" i="30"/>
  <c r="H30" i="30"/>
  <c r="M29" i="30"/>
  <c r="Y26" i="30"/>
  <c r="B44" i="30"/>
  <c r="B31" i="30"/>
  <c r="N50" i="28"/>
  <c r="I50" i="28"/>
  <c r="G50" i="28"/>
  <c r="E50" i="28"/>
  <c r="D50" i="28"/>
  <c r="N52" i="25"/>
  <c r="H33" i="25"/>
  <c r="H26" i="22" l="1"/>
  <c r="G26" i="22"/>
  <c r="F26" i="22"/>
  <c r="E26" i="22"/>
  <c r="D26" i="22"/>
  <c r="C26" i="22"/>
  <c r="H24" i="22"/>
  <c r="G24" i="22"/>
  <c r="F24" i="22"/>
  <c r="E24" i="22"/>
  <c r="D24" i="22"/>
  <c r="C24" i="22"/>
  <c r="G20" i="22"/>
  <c r="F20" i="22"/>
  <c r="E20" i="22"/>
  <c r="D20" i="22"/>
  <c r="C20" i="22"/>
  <c r="H18" i="22"/>
  <c r="G18" i="22"/>
  <c r="F18" i="22"/>
  <c r="E18" i="22"/>
  <c r="D18" i="22"/>
  <c r="C18" i="22"/>
  <c r="I29" i="6" l="1"/>
  <c r="H68" i="21"/>
  <c r="G68" i="21"/>
  <c r="F68" i="21"/>
  <c r="E68" i="21"/>
  <c r="D68" i="21"/>
  <c r="H58" i="21"/>
  <c r="G58" i="21"/>
  <c r="F58" i="21"/>
  <c r="E58" i="21"/>
  <c r="D58" i="21"/>
  <c r="C11" i="4" l="1"/>
  <c r="C9" i="4"/>
  <c r="C8" i="4"/>
  <c r="C14" i="4"/>
  <c r="B15" i="12" l="1"/>
  <c r="B14" i="12"/>
  <c r="B12" i="12"/>
  <c r="B11" i="12"/>
  <c r="B10" i="12"/>
</calcChain>
</file>

<file path=xl/sharedStrings.xml><?xml version="1.0" encoding="utf-8"?>
<sst xmlns="http://schemas.openxmlformats.org/spreadsheetml/2006/main" count="1175" uniqueCount="235">
  <si>
    <t>-</t>
  </si>
  <si>
    <t>80/140</t>
  </si>
  <si>
    <t>110/180</t>
  </si>
  <si>
    <t>115/180</t>
  </si>
  <si>
    <t>120/180</t>
  </si>
  <si>
    <t>130/190</t>
  </si>
  <si>
    <t>150/210</t>
  </si>
  <si>
    <t>180/240</t>
  </si>
  <si>
    <t>200/260</t>
  </si>
  <si>
    <t>Комплект теплоизоляционный 80х400 для ППУ - Р 500х500</t>
  </si>
  <si>
    <t>Наименование изделия</t>
  </si>
  <si>
    <t>Цена в руб.с НДС за шт.</t>
  </si>
  <si>
    <t>Внешний вид</t>
  </si>
  <si>
    <t>250/310</t>
  </si>
  <si>
    <t>Диаметр</t>
  </si>
  <si>
    <t xml:space="preserve">Повышенная корозионостойкость сварного шва обеспечена  TIG сваркой в среде аргона, без доступа кислорода. </t>
  </si>
  <si>
    <t>Продукция сертифицирована</t>
  </si>
  <si>
    <t>ТУ № 5263-001-80115295-2011</t>
  </si>
  <si>
    <t>Пож.серт. (обязательная сертификация) № С-.RU.ПБ 37.В.00073</t>
  </si>
  <si>
    <t>Гост Р       № РОСС RU.АЮ 31.НО 9761</t>
  </si>
  <si>
    <t>ТУ             № 5263-001-80115295-2011</t>
  </si>
  <si>
    <t xml:space="preserve">Ваши предложения и нарекания на качество продукции и обслуживания просьба отправлять на эл почту pk@teplov.ru </t>
  </si>
  <si>
    <t>ТУ             № 9695- 001- 80115295 - 2008</t>
  </si>
  <si>
    <t>Изделия, выделенные  жирным шрифтом, входят в складскую программу</t>
  </si>
  <si>
    <t>Посадочный</t>
  </si>
  <si>
    <t>Изделия, выделенные цветом, являются распродажными, наличие уточняйте у вашего менеджера</t>
  </si>
  <si>
    <t xml:space="preserve">Выделенные цветом изделия являются распродажными(выбирать только при наличии на складе)															</t>
  </si>
  <si>
    <t>Производство изделий не входящих в складскую программу требует дополнительного согласования</t>
  </si>
  <si>
    <t>100/200</t>
  </si>
  <si>
    <t>Зонт Овал Моно</t>
  </si>
  <si>
    <t>Конденсатоотвод Овал Моно</t>
  </si>
  <si>
    <t>Труба Овал Моно L 1000</t>
  </si>
  <si>
    <t>Труба Овал Моно L 500</t>
  </si>
  <si>
    <t>* Данные изделия производятся из стали толщиной 0,5.</t>
  </si>
  <si>
    <t>Срок производства изделий не входящих в складскую программу требует дополнительного согласования</t>
  </si>
  <si>
    <t xml:space="preserve"> Cталь AISI 430 0,8</t>
  </si>
  <si>
    <t xml:space="preserve"> Cталь AISI 304 0,8</t>
  </si>
  <si>
    <t>Номенклатура</t>
  </si>
  <si>
    <t>Заглушка ревизии Моно</t>
  </si>
  <si>
    <t>Крепление регулируемое КР 700, (весовая нагрузка 50 кг.)</t>
  </si>
  <si>
    <t>Крепление основное KKO 500</t>
  </si>
  <si>
    <t>Крепление основное KKO 650</t>
  </si>
  <si>
    <t>Крепление основное KKO 350</t>
  </si>
  <si>
    <t xml:space="preserve">Крепление регулируемое КР 700 </t>
  </si>
  <si>
    <t>Крепление регулируемое КР 1000</t>
  </si>
  <si>
    <t>Крепление регулируемое КР 1200</t>
  </si>
  <si>
    <t>Крепление универсальное КУ</t>
  </si>
  <si>
    <t>Крепление подвес 350</t>
  </si>
  <si>
    <t>Крепление подвес 700</t>
  </si>
  <si>
    <t>Проход перекрытия универсальный ППУ - Р 500х500</t>
  </si>
  <si>
    <t>Проход кровли универсальный 30-45 гр.</t>
  </si>
  <si>
    <t>Опора монтажная универсальная</t>
  </si>
  <si>
    <t>Хомут растяжки</t>
  </si>
  <si>
    <t>Хомут трубный на болте</t>
  </si>
  <si>
    <t>Хомут трубный на болте ФР</t>
  </si>
  <si>
    <t>Лист потолочный универсальный ЛПУ - Р 500*500 мм</t>
  </si>
  <si>
    <t>Лист предтопочный 1000*500</t>
  </si>
  <si>
    <t>Лист предтопочный 600*500</t>
  </si>
  <si>
    <t>Фартук</t>
  </si>
  <si>
    <t>Экран защитный 800*1000 мм</t>
  </si>
  <si>
    <t>Экран защитный 500*500 мм</t>
  </si>
  <si>
    <t>Крепление стеновое КС</t>
  </si>
  <si>
    <t>Крепление стеновое регулируемое КСР</t>
  </si>
  <si>
    <t>Площадка сквозная монтажная ПСМ</t>
  </si>
  <si>
    <t>Проход кровли 45 гр.</t>
  </si>
  <si>
    <t>Дефлектор ДМ-Р</t>
  </si>
  <si>
    <t>Зонт ЗМ-Р</t>
  </si>
  <si>
    <t>Площадка монтажная Моно ПММ-Р</t>
  </si>
  <si>
    <t>Отвод 45 OM-Р</t>
  </si>
  <si>
    <t>Отвод 87 OM-Р</t>
  </si>
  <si>
    <t>Тройник 87 ТРМ(М)-Р</t>
  </si>
  <si>
    <t>Тройник 45 ТРМ(М)-Р</t>
  </si>
  <si>
    <t>Труба L1000 ТМ-Р</t>
  </si>
  <si>
    <t>Труба L250 ТМ-Р</t>
  </si>
  <si>
    <t>Труба L500 ТМ-Р</t>
  </si>
  <si>
    <t>Шибер ШМ(М)-Р</t>
  </si>
  <si>
    <t>Конус КТ-Р</t>
  </si>
  <si>
    <t xml:space="preserve">Отвод OT-Р 45° </t>
  </si>
  <si>
    <t xml:space="preserve">Отвод ОТ-Р 87° </t>
  </si>
  <si>
    <t>Переход Моно/Термо ПМТ(М)-Р</t>
  </si>
  <si>
    <t>Площадка монтажная ПМТ-Р</t>
  </si>
  <si>
    <t>Тройник Термо ТРТ(М)-Р 45°</t>
  </si>
  <si>
    <t>Тройник Термо ТРТ(М)-Р 87°</t>
  </si>
  <si>
    <t xml:space="preserve">Труба ТТ-Р L1000 </t>
  </si>
  <si>
    <t>Труба ТТ-Р L250</t>
  </si>
  <si>
    <t xml:space="preserve">Труба ТТ-Р L500 </t>
  </si>
  <si>
    <t>Труба телескоп L 300 – 450 ТТМ-Р</t>
  </si>
  <si>
    <t xml:space="preserve">Тройник TРТ(М)-Р 45° + 2 хомута </t>
  </si>
  <si>
    <t xml:space="preserve">Тройник TРТ(М)-Р 87° + 2 хомута </t>
  </si>
  <si>
    <t>Переход Моно/Термо ПМТ-Р</t>
  </si>
  <si>
    <t xml:space="preserve">Тройник Термо TРТ(М)-Р 45° + 2 хомута </t>
  </si>
  <si>
    <t>Тройник Термо TРТ(М)-Р 87° + 2 хомута</t>
  </si>
  <si>
    <t>Лист потолочный</t>
  </si>
  <si>
    <t>Проход перекрытия разборный 1000х1000</t>
  </si>
  <si>
    <t>Проход кровли универсальный 0-15 гр.</t>
  </si>
  <si>
    <t>Заглушка ревизии Моно 304</t>
  </si>
  <si>
    <t xml:space="preserve">Конус КТ(М)-Р  с хомутом  </t>
  </si>
  <si>
    <t xml:space="preserve">Отвод OT-Р 45°  с хомутом  </t>
  </si>
  <si>
    <t xml:space="preserve">Отвод OT-Р 87°  с хомутом  </t>
  </si>
  <si>
    <t xml:space="preserve">Площадка монтажная  ПМТ-Р  с хомутом  </t>
  </si>
  <si>
    <t xml:space="preserve">Труба телескоп ТТТ-Р 300– 450  с хомутом  </t>
  </si>
  <si>
    <t xml:space="preserve">Труба ТТ-Р 1000  с хомутом  </t>
  </si>
  <si>
    <t xml:space="preserve">Труба ТТ-Р250  с хомутом  </t>
  </si>
  <si>
    <t xml:space="preserve">Труба ТТ-Р 500  с хомутом  </t>
  </si>
  <si>
    <t xml:space="preserve">Конус КТ-Р  с хомутом  </t>
  </si>
  <si>
    <t xml:space="preserve">Площадка монтажная   ПМТ-Р  с хомутом  </t>
  </si>
  <si>
    <t xml:space="preserve">Труба ТТ-Р 1000 с хомутом  </t>
  </si>
  <si>
    <t xml:space="preserve">ТрубаТТ-Р 500 с хомутом  </t>
  </si>
  <si>
    <t xml:space="preserve">Установите согласованный размер скидки от РРЦ и получите цену закупки по вашим условиям </t>
  </si>
  <si>
    <t>Установить размер скидки</t>
  </si>
  <si>
    <t>В прайсе указаны рекомендованные розничные цены (РРЦ).</t>
  </si>
  <si>
    <t>Цены указаны с НДС</t>
  </si>
  <si>
    <t>Рекомендуемая розничная цена на комплектующие к дымоходам</t>
  </si>
  <si>
    <t>Адаптер котла АКМ</t>
  </si>
  <si>
    <t>Бак навесной ТиС Феррит 60</t>
  </si>
  <si>
    <t>Бак навесной ТиС Стандарт 60</t>
  </si>
  <si>
    <t>Бак навесной ТиС Стандарт 80</t>
  </si>
  <si>
    <t>Бак навесной ТиС Стандарт 100</t>
  </si>
  <si>
    <t>Диаметр трубы</t>
  </si>
  <si>
    <t>Бак печной ТиС Стандарт 75</t>
  </si>
  <si>
    <t>Бак печной ТиС Стандарт 55</t>
  </si>
  <si>
    <t>Бак печной ТиС Феррит 55</t>
  </si>
  <si>
    <t>Титан ТиС Феррит 8</t>
  </si>
  <si>
    <t>Титан ТиС Стандарт 8</t>
  </si>
  <si>
    <t>Титан ТиС Стандарт 16</t>
  </si>
  <si>
    <t>115, 120</t>
  </si>
  <si>
    <t>Адаптеры-переходы, адаптеры котла</t>
  </si>
  <si>
    <t>Переходы моно</t>
  </si>
  <si>
    <t xml:space="preserve">                                   Диаметр основного дымохода</t>
  </si>
  <si>
    <t xml:space="preserve">                                 Диаметр основного дымохода</t>
  </si>
  <si>
    <t xml:space="preserve">Наименование                                                                                                                (марка стали, толщина, мм.)                                        </t>
  </si>
  <si>
    <t>AISI 430 0,5 мм</t>
  </si>
  <si>
    <t>AISI 430 0,8 мм</t>
  </si>
  <si>
    <t>Диаметр внутренний/диаметр наружный</t>
  </si>
  <si>
    <t>Заглушка ревизии Термо-Р (по наруж. диаметру)</t>
  </si>
  <si>
    <t>AISI 304 0,8 мм</t>
  </si>
  <si>
    <t>AISI 304 0,5 мм</t>
  </si>
  <si>
    <t>AISI 316 0,5 мм</t>
  </si>
  <si>
    <t xml:space="preserve">Наименование                                                                                                                (марка стали внутр. контура, толщина, мм./ марка стали наруж. контура, толщина, мм.)                                        </t>
  </si>
  <si>
    <t>AISI 316 0,8 мм</t>
  </si>
  <si>
    <t>Наименование</t>
  </si>
  <si>
    <t xml:space="preserve"> Cталь AISI 304 толщ. 0,5 мм</t>
  </si>
  <si>
    <t xml:space="preserve">ТрубаТТ-Р 250 с хомутом  </t>
  </si>
  <si>
    <t>Производитель гарантирует качественную работу дымохода при правильно выбранной покупателем марке стали, иных параметров изделий, соблюдении требований, правил монтажа и экслуатации дымохода и тепловой установки. См. инструкция по монтажу и эксплуатации дымоходов "Теплов и Сухов"   WWW.TEPLOV.RU</t>
  </si>
  <si>
    <t>Производитель гарантирует качественную работу дымохода при правильно выбранной покупателем марке стали, иных параметров изделий, соблюдении требований, правил монтажа и экслуатации дымохода и тепловой установки. См. инструкция по монтажу и эксплуатации дымоходов "Теплов и Сухов"  WWW.TEPLOV.RU</t>
  </si>
  <si>
    <t>120/220</t>
  </si>
  <si>
    <t>130/230</t>
  </si>
  <si>
    <t>150/250</t>
  </si>
  <si>
    <t>180/280</t>
  </si>
  <si>
    <t>200/300</t>
  </si>
  <si>
    <t>250/350</t>
  </si>
  <si>
    <t>AISI 444 0,5 мм</t>
  </si>
  <si>
    <t xml:space="preserve">Конус КТ  с хомутом  </t>
  </si>
  <si>
    <t xml:space="preserve">Отвод OT 45°  с хомутом  </t>
  </si>
  <si>
    <t xml:space="preserve">Отвод OT 87°  с хомутом  </t>
  </si>
  <si>
    <t>Переход Моно-Термо ПМТ</t>
  </si>
  <si>
    <t xml:space="preserve">Площадка монтажная  ПМТ  с хомутом  </t>
  </si>
  <si>
    <t xml:space="preserve">Тройник TРТ 45° + 2 хомута </t>
  </si>
  <si>
    <t xml:space="preserve">Тройник TРТ 87° + 2 хомута </t>
  </si>
  <si>
    <t xml:space="preserve">Труба DTТ 1000  с хомутом  </t>
  </si>
  <si>
    <t xml:space="preserve">Труба DTТ 500  с хомутом  </t>
  </si>
  <si>
    <t>Заглушка ревизии Моно (по дыму)</t>
  </si>
  <si>
    <t>Тройник 45 ТРМ(М)-Р (по дыму)</t>
  </si>
  <si>
    <t>Тройник 87 ТРМ(М)-Р (по дыму)</t>
  </si>
  <si>
    <t>130/200 ФМ</t>
  </si>
  <si>
    <t>120/200 ФМ</t>
  </si>
  <si>
    <t>115/200 ФМ</t>
  </si>
  <si>
    <t>150/210 ФМ</t>
  </si>
  <si>
    <t>200/280 ФМ</t>
  </si>
  <si>
    <t>Переход Моно/Термо ПМТ(М)-Р (по дыму)</t>
  </si>
  <si>
    <t>Зонт ЗМ-Р (по дыму)</t>
  </si>
  <si>
    <t xml:space="preserve">                                                Диаметр основного дымохода ("мама")</t>
  </si>
  <si>
    <t>Продукция сертифицирована: Пож.серт. (обязательная сертификация) № С-.RU.ПБ 37.В.00073;  Гост Р  № РОСС RU.АЮ 31.НО 976;  ТУ № 9695- 001-80115295 - 2008</t>
  </si>
  <si>
    <t>Ваши предложения и нарекания на качество продукции и обслуживания просьба отправлять на эл почту pk@teplov.ru. Производитель гарантирует качественную работу дымохода при правильно выбранной покупателем марке стали, иных параметров изделий, соблюдении требований, правил монтажа и эксплуатации дымохода и тепловой установки.</t>
  </si>
  <si>
    <t>См. инструкция по монтажу и эксплуатации дымоходов "Теплов и Сухов"   WWW.TEPLOV.RU</t>
  </si>
  <si>
    <t xml:space="preserve">             AISI 430 0,5 мм</t>
  </si>
  <si>
    <t>Выделенные цветом изделия являются распродажными (выбирать только при наличии на складе)</t>
  </si>
  <si>
    <t xml:space="preserve"> См. инструкция по монтажу и эксплуатации дымоходов "Теплов и Сухов" WWW.TEPLOV.RU</t>
  </si>
  <si>
    <t>Производитель гарантирует качественную работу дымохода при правильно выбранной покупателем марке стали, иных параметров изделий, соблюдении требований, правил монтажа и экслуатации дымохода и тепловой установки.</t>
  </si>
  <si>
    <t>Продукция сертифицирована Пож.серт. (обязательная сертификация) № С-.RU.ПБ 37.В.00073 Гост Р    № РОСС RU.АЮ 31.НО 9761</t>
  </si>
  <si>
    <t xml:space="preserve">                                                    Диаметр основного дымохода ("мама")</t>
  </si>
  <si>
    <t>посадочный ("папа")</t>
  </si>
  <si>
    <t>посадочный ("мама")</t>
  </si>
  <si>
    <t>Крепление основное KKO 300</t>
  </si>
  <si>
    <t xml:space="preserve"> </t>
  </si>
  <si>
    <t xml:space="preserve">Конденсатоотвод Термо-Р (по наруж.диаметру) </t>
  </si>
  <si>
    <t xml:space="preserve">Заглушка ревизии Термо-Р (по наруж.диаметру) </t>
  </si>
  <si>
    <t>Труба телескоп ТТТ-Р 300-450 с хомутом</t>
  </si>
  <si>
    <t>Конденсатоотвод Моно 316</t>
  </si>
  <si>
    <t>AISI 310 0,8 мм</t>
  </si>
  <si>
    <t>Труба телескоп L 300 - 450 ТТМ-Р</t>
  </si>
  <si>
    <t xml:space="preserve">Изделия входят в складскую программу (срок отгрузки до 7 дней)  - </t>
  </si>
  <si>
    <t xml:space="preserve"> Cталь AISI 310 0,8</t>
  </si>
  <si>
    <t>Зонт-Конус Термо</t>
  </si>
  <si>
    <t xml:space="preserve">Шибер - переход Моно-Термо ШПМТ-Р </t>
  </si>
  <si>
    <t>Четверик Термо ЧТ-Р</t>
  </si>
  <si>
    <t xml:space="preserve">Конвектор трубный 1000 мм </t>
  </si>
  <si>
    <t xml:space="preserve">AISI 310 0,8 мм / AISI 304 </t>
  </si>
  <si>
    <t xml:space="preserve">AISI 430 0,5 мм / AISI 430 </t>
  </si>
  <si>
    <t xml:space="preserve">              AISI 430 0,5 мм / Оцинковка </t>
  </si>
  <si>
    <t xml:space="preserve">AISI 430 0,8 мм / AISI 430 </t>
  </si>
  <si>
    <t xml:space="preserve">              AISI 430 0,8 мм / Оцинковка </t>
  </si>
  <si>
    <t xml:space="preserve">AISI 444 0,5 мм / AISI 304 </t>
  </si>
  <si>
    <t xml:space="preserve">AISI 304 0,5 мм / AISI 304 </t>
  </si>
  <si>
    <t>AISI 444 0,5 мм / AISI 304</t>
  </si>
  <si>
    <t xml:space="preserve">AISI 304 0,8 мм / AISI 304 </t>
  </si>
  <si>
    <t xml:space="preserve">AISI 316 0,5 мм / AISI 304 </t>
  </si>
  <si>
    <t>AISI 304 0,5 мм / AISI 304</t>
  </si>
  <si>
    <t>AISI 304 0,8 мм / AISI 304</t>
  </si>
  <si>
    <t>AISI 316 0,5 мм / AISI 304</t>
  </si>
  <si>
    <t xml:space="preserve">Конвектор трубный Феррит 1000 мм </t>
  </si>
  <si>
    <t>Сетка для камней L500 СДК 430-0,5</t>
  </si>
  <si>
    <t>Изделия входят в складскую программу (срок отгрузки до 7 дней)</t>
  </si>
  <si>
    <t>Изделия входят в складскую программу</t>
  </si>
  <si>
    <t>110-130</t>
  </si>
  <si>
    <t>Тройник овал Моно  87° врезка Ф 120 мм.</t>
  </si>
  <si>
    <t>Тройник овал Моно  87° врезка Ф 150 мм.</t>
  </si>
  <si>
    <t>*Производитель гарантирует качественную работу дымохода при правильно выбранной покупателем марке стали, толщине теплоизоляции,иных параметров изделий, соблюдении требований, правил монтажа и экслуатации дымохода и тепловой установки. См. инструкция по монтажу и эксплуатации дымоходов "Теплов и Сухов"  WWW.TEPLOV.RU</t>
  </si>
  <si>
    <t>Изделия: Адаптер котла D80 и D100, Адаптер котла переход D80/110, D80/115, D80/120 и Переход D80/110, D115/130 - производятся из стали 430 0,5</t>
  </si>
  <si>
    <t>Кондесатоотвод Моно</t>
  </si>
  <si>
    <t>Кондесатоотвод Термо-Р (по наруж. диаметру)</t>
  </si>
  <si>
    <t>Кондесатоотвод Моно 316</t>
  </si>
  <si>
    <t>100/160</t>
  </si>
  <si>
    <t>ППШ  Паро-перегреватель трубный  L820мм</t>
  </si>
  <si>
    <t>ППШ-мини  Паро-перегреватель трубный  L465мм</t>
  </si>
  <si>
    <t>Бак-ватерпасс 430-0,5 d180 L166</t>
  </si>
  <si>
    <t>ППШ-М Паро-перегреватель трубный 430 L465мм</t>
  </si>
  <si>
    <t>Хомут трубный на болте-ФМ-ФР</t>
  </si>
  <si>
    <t>Труба Термо L250 TТ-Р  с хомутом</t>
  </si>
  <si>
    <t>Труба телескоп Термо L550 – 950 ТТТ-Р</t>
  </si>
  <si>
    <t>AISI 201 0,5 мм</t>
  </si>
  <si>
    <t xml:space="preserve">Хомут штанги регулируемой ХШР 430 0,8 </t>
  </si>
  <si>
    <t>Штанга регулируемая 380-700 мм</t>
  </si>
  <si>
    <t>Штанга регулируемая 150-300 мм</t>
  </si>
  <si>
    <t>от 20.01.2020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</si>
</sst>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*&quot;"/>
  </numFmts>
  <fonts count="48" x14ac:knownFonts="1">
    <font>
      <sz val="10"/>
      <name val="Arial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2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4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18"/>
      <name val="Arial"/>
      <family val="2"/>
      <charset val="204"/>
    </font>
    <font>
      <sz val="8"/>
      <name val="Arial"/>
      <family val="2"/>
    </font>
    <font>
      <sz val="1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color indexed="9"/>
      <name val="Arial"/>
      <family val="2"/>
      <charset val="204"/>
    </font>
    <font>
      <sz val="9"/>
      <name val="Arial"/>
      <family val="2"/>
      <charset val="204"/>
    </font>
    <font>
      <sz val="26"/>
      <name val="Arial"/>
      <family val="2"/>
      <charset val="204"/>
    </font>
    <font>
      <b/>
      <sz val="48"/>
      <color theme="0"/>
      <name val="Arial"/>
      <family val="2"/>
      <charset val="204"/>
    </font>
    <font>
      <sz val="18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b/>
      <sz val="8"/>
      <name val="Arial"/>
      <family val="2"/>
      <charset val="204"/>
    </font>
    <font>
      <sz val="24"/>
      <name val="Arial"/>
      <family val="2"/>
      <charset val="204"/>
    </font>
    <font>
      <sz val="14"/>
      <name val="Arial"/>
      <family val="2"/>
    </font>
    <font>
      <b/>
      <sz val="22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rgb="FFFF0000"/>
      <name val="Arial"/>
      <family val="2"/>
    </font>
    <font>
      <sz val="11"/>
      <color theme="0" tint="-4.9989318521683403E-2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sz val="11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6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880">
    <xf numFmtId="0" fontId="0" fillId="0" borderId="0" xfId="0"/>
    <xf numFmtId="0" fontId="2" fillId="0" borderId="0" xfId="11" applyFont="1"/>
    <xf numFmtId="0" fontId="1" fillId="0" borderId="0" xfId="11"/>
    <xf numFmtId="0" fontId="5" fillId="0" borderId="0" xfId="3" applyAlignment="1" applyProtection="1"/>
    <xf numFmtId="0" fontId="7" fillId="0" borderId="0" xfId="0" applyFont="1"/>
    <xf numFmtId="0" fontId="10" fillId="0" borderId="0" xfId="4" applyFont="1" applyBorder="1" applyAlignment="1"/>
    <xf numFmtId="0" fontId="3" fillId="0" borderId="0" xfId="0" applyFont="1"/>
    <xf numFmtId="0" fontId="0" fillId="2" borderId="0" xfId="0" applyFill="1"/>
    <xf numFmtId="3" fontId="7" fillId="2" borderId="1" xfId="9" applyNumberFormat="1" applyFont="1" applyFill="1" applyBorder="1" applyAlignment="1">
      <alignment horizontal="center" vertical="center"/>
    </xf>
    <xf numFmtId="0" fontId="7" fillId="2" borderId="0" xfId="0" applyFont="1" applyFill="1"/>
    <xf numFmtId="0" fontId="2" fillId="2" borderId="1" xfId="11" applyFont="1" applyFill="1" applyBorder="1" applyAlignment="1">
      <alignment horizontal="center" vertical="center"/>
    </xf>
    <xf numFmtId="0" fontId="0" fillId="0" borderId="0" xfId="0" applyBorder="1"/>
    <xf numFmtId="0" fontId="6" fillId="0" borderId="0" xfId="11" applyFont="1" applyAlignment="1">
      <alignment horizontal="center" vertical="center"/>
    </xf>
    <xf numFmtId="0" fontId="2" fillId="0" borderId="0" xfId="0" applyFont="1"/>
    <xf numFmtId="0" fontId="5" fillId="0" borderId="0" xfId="1" applyAlignment="1" applyProtection="1"/>
    <xf numFmtId="0" fontId="7" fillId="0" borderId="0" xfId="0" applyFont="1" applyFill="1" applyAlignment="1"/>
    <xf numFmtId="0" fontId="18" fillId="0" borderId="0" xfId="12"/>
    <xf numFmtId="0" fontId="3" fillId="2" borderId="0" xfId="0" applyFont="1" applyFill="1"/>
    <xf numFmtId="0" fontId="1" fillId="0" borderId="0" xfId="0" applyFont="1"/>
    <xf numFmtId="3" fontId="1" fillId="3" borderId="1" xfId="0" applyNumberFormat="1" applyFont="1" applyFill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0" fontId="22" fillId="0" borderId="0" xfId="0" applyFont="1" applyBorder="1" applyAlignment="1"/>
    <xf numFmtId="0" fontId="7" fillId="2" borderId="0" xfId="0" applyFont="1" applyFill="1" applyBorder="1" applyAlignment="1">
      <alignment horizontal="left"/>
    </xf>
    <xf numFmtId="0" fontId="18" fillId="0" borderId="0" xfId="13"/>
    <xf numFmtId="0" fontId="23" fillId="0" borderId="0" xfId="13" applyNumberFormat="1" applyFont="1" applyAlignment="1">
      <alignment horizontal="left"/>
    </xf>
    <xf numFmtId="0" fontId="16" fillId="0" borderId="0" xfId="13" applyNumberFormat="1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0" fillId="0" borderId="0" xfId="0" applyAlignment="1"/>
    <xf numFmtId="0" fontId="18" fillId="0" borderId="0" xfId="14"/>
    <xf numFmtId="0" fontId="7" fillId="0" borderId="14" xfId="15" applyNumberFormat="1" applyFont="1" applyBorder="1" applyAlignment="1">
      <alignment horizontal="center"/>
    </xf>
    <xf numFmtId="0" fontId="7" fillId="0" borderId="24" xfId="15" applyNumberFormat="1" applyFont="1" applyBorder="1" applyAlignment="1">
      <alignment horizontal="center"/>
    </xf>
    <xf numFmtId="0" fontId="18" fillId="0" borderId="0" xfId="15"/>
    <xf numFmtId="0" fontId="1" fillId="0" borderId="0" xfId="15" applyFont="1" applyAlignment="1">
      <alignment horizontal="left"/>
    </xf>
    <xf numFmtId="0" fontId="18" fillId="0" borderId="0" xfId="16"/>
    <xf numFmtId="1" fontId="18" fillId="0" borderId="0" xfId="14" applyNumberFormat="1"/>
    <xf numFmtId="1" fontId="2" fillId="0" borderId="1" xfId="9" applyNumberFormat="1" applyFont="1" applyFill="1" applyBorder="1" applyAlignment="1">
      <alignment horizontal="center" vertical="center"/>
    </xf>
    <xf numFmtId="3" fontId="2" fillId="0" borderId="1" xfId="9" applyNumberFormat="1" applyFont="1" applyFill="1" applyBorder="1" applyAlignment="1">
      <alignment horizontal="center" vertical="center"/>
    </xf>
    <xf numFmtId="0" fontId="17" fillId="0" borderId="0" xfId="11" applyFont="1" applyAlignment="1">
      <alignment horizontal="center"/>
    </xf>
    <xf numFmtId="0" fontId="1" fillId="0" borderId="0" xfId="16" applyNumberFormat="1" applyFont="1" applyFill="1" applyAlignment="1">
      <alignment horizontal="left" wrapText="1"/>
    </xf>
    <xf numFmtId="0" fontId="1" fillId="0" borderId="0" xfId="12" applyNumberFormat="1" applyFont="1" applyAlignment="1">
      <alignment horizontal="left"/>
    </xf>
    <xf numFmtId="0" fontId="7" fillId="0" borderId="0" xfId="10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 wrapText="1"/>
    </xf>
    <xf numFmtId="0" fontId="18" fillId="0" borderId="0" xfId="12" applyFill="1"/>
    <xf numFmtId="1" fontId="2" fillId="0" borderId="1" xfId="14" applyNumberFormat="1" applyFont="1" applyFill="1" applyBorder="1" applyAlignment="1">
      <alignment horizontal="center" vertical="center"/>
    </xf>
    <xf numFmtId="0" fontId="2" fillId="0" borderId="1" xfId="15" applyNumberFormat="1" applyFont="1" applyFill="1" applyBorder="1" applyAlignment="1">
      <alignment horizontal="center" vertical="center"/>
    </xf>
    <xf numFmtId="0" fontId="2" fillId="0" borderId="13" xfId="15" applyNumberFormat="1" applyFont="1" applyFill="1" applyBorder="1" applyAlignment="1">
      <alignment horizontal="center" vertical="center"/>
    </xf>
    <xf numFmtId="0" fontId="2" fillId="0" borderId="19" xfId="15" applyNumberFormat="1" applyFont="1" applyFill="1" applyBorder="1" applyAlignment="1">
      <alignment horizontal="center" vertical="center"/>
    </xf>
    <xf numFmtId="0" fontId="2" fillId="0" borderId="7" xfId="15" applyNumberFormat="1" applyFont="1" applyFill="1" applyBorder="1" applyAlignment="1">
      <alignment horizontal="center" vertical="center"/>
    </xf>
    <xf numFmtId="0" fontId="2" fillId="0" borderId="18" xfId="15" applyNumberFormat="1" applyFont="1" applyFill="1" applyBorder="1" applyAlignment="1">
      <alignment horizontal="center" vertical="center"/>
    </xf>
    <xf numFmtId="0" fontId="2" fillId="0" borderId="4" xfId="15" applyNumberFormat="1" applyFont="1" applyFill="1" applyBorder="1" applyAlignment="1">
      <alignment horizontal="center" vertical="center"/>
    </xf>
    <xf numFmtId="0" fontId="2" fillId="0" borderId="12" xfId="15" applyFont="1" applyFill="1" applyBorder="1" applyAlignment="1">
      <alignment horizontal="center" vertical="center"/>
    </xf>
    <xf numFmtId="0" fontId="2" fillId="0" borderId="6" xfId="15" applyFont="1" applyFill="1" applyBorder="1" applyAlignment="1">
      <alignment horizontal="center" vertical="center"/>
    </xf>
    <xf numFmtId="0" fontId="2" fillId="0" borderId="45" xfId="15" applyFont="1" applyFill="1" applyBorder="1" applyAlignment="1">
      <alignment horizontal="center" vertical="center"/>
    </xf>
    <xf numFmtId="0" fontId="2" fillId="0" borderId="10" xfId="15" applyNumberFormat="1" applyFont="1" applyFill="1" applyBorder="1" applyAlignment="1">
      <alignment horizontal="center" vertical="center"/>
    </xf>
    <xf numFmtId="1" fontId="2" fillId="0" borderId="22" xfId="15" applyNumberFormat="1" applyFont="1" applyFill="1" applyBorder="1" applyAlignment="1">
      <alignment horizontal="center" vertical="center"/>
    </xf>
    <xf numFmtId="0" fontId="2" fillId="0" borderId="9" xfId="15" applyNumberFormat="1" applyFont="1" applyFill="1" applyBorder="1" applyAlignment="1">
      <alignment horizontal="center" vertical="center"/>
    </xf>
    <xf numFmtId="0" fontId="2" fillId="0" borderId="8" xfId="15" applyNumberFormat="1" applyFont="1" applyFill="1" applyBorder="1" applyAlignment="1">
      <alignment horizontal="center" vertical="center"/>
    </xf>
    <xf numFmtId="0" fontId="2" fillId="0" borderId="46" xfId="15" applyNumberFormat="1" applyFont="1" applyFill="1" applyBorder="1" applyAlignment="1">
      <alignment horizontal="center" vertical="center"/>
    </xf>
    <xf numFmtId="0" fontId="2" fillId="0" borderId="2" xfId="15" applyNumberFormat="1" applyFont="1" applyFill="1" applyBorder="1" applyAlignment="1">
      <alignment horizontal="center" vertical="center"/>
    </xf>
    <xf numFmtId="0" fontId="2" fillId="0" borderId="28" xfId="15" applyNumberFormat="1" applyFont="1" applyFill="1" applyBorder="1" applyAlignment="1">
      <alignment horizontal="center" vertical="center"/>
    </xf>
    <xf numFmtId="0" fontId="2" fillId="0" borderId="29" xfId="15" applyNumberFormat="1" applyFont="1" applyFill="1" applyBorder="1" applyAlignment="1">
      <alignment horizontal="center" vertical="center"/>
    </xf>
    <xf numFmtId="0" fontId="2" fillId="0" borderId="11" xfId="15" applyNumberFormat="1" applyFont="1" applyFill="1" applyBorder="1" applyAlignment="1">
      <alignment horizontal="center" vertical="center"/>
    </xf>
    <xf numFmtId="0" fontId="2" fillId="0" borderId="42" xfId="15" applyNumberFormat="1" applyFont="1" applyFill="1" applyBorder="1" applyAlignment="1">
      <alignment horizontal="center" vertical="center"/>
    </xf>
    <xf numFmtId="0" fontId="1" fillId="0" borderId="0" xfId="10" applyFont="1"/>
    <xf numFmtId="0" fontId="1" fillId="0" borderId="0" xfId="13" applyNumberFormat="1" applyFont="1" applyAlignment="1">
      <alignment horizontal="left"/>
    </xf>
    <xf numFmtId="0" fontId="29" fillId="0" borderId="0" xfId="12" applyFont="1"/>
    <xf numFmtId="0" fontId="2" fillId="2" borderId="10" xfId="7" applyFont="1" applyFill="1" applyBorder="1" applyAlignment="1">
      <alignment horizontal="justify" vertical="center"/>
    </xf>
    <xf numFmtId="0" fontId="1" fillId="0" borderId="0" xfId="15" applyNumberFormat="1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16" fillId="0" borderId="0" xfId="1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/>
    <xf numFmtId="0" fontId="30" fillId="0" borderId="0" xfId="0" applyFont="1"/>
    <xf numFmtId="0" fontId="33" fillId="0" borderId="0" xfId="17"/>
    <xf numFmtId="0" fontId="34" fillId="0" borderId="0" xfId="17" applyFont="1"/>
    <xf numFmtId="1" fontId="34" fillId="0" borderId="0" xfId="17" applyNumberFormat="1" applyFont="1" applyAlignment="1">
      <alignment horizontal="center" vertical="center"/>
    </xf>
    <xf numFmtId="1" fontId="33" fillId="0" borderId="0" xfId="17" applyNumberFormat="1" applyFont="1"/>
    <xf numFmtId="2" fontId="33" fillId="0" borderId="0" xfId="17" applyNumberFormat="1" applyFont="1"/>
    <xf numFmtId="9" fontId="26" fillId="6" borderId="22" xfId="0" applyNumberFormat="1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1" fontId="31" fillId="0" borderId="0" xfId="14" applyNumberFormat="1" applyFont="1" applyBorder="1" applyAlignment="1">
      <alignment horizontal="center"/>
    </xf>
    <xf numFmtId="1" fontId="21" fillId="0" borderId="51" xfId="15" applyNumberFormat="1" applyFont="1" applyBorder="1" applyAlignment="1">
      <alignment horizontal="center"/>
    </xf>
    <xf numFmtId="1" fontId="21" fillId="0" borderId="22" xfId="15" applyNumberFormat="1" applyFont="1" applyBorder="1" applyAlignment="1">
      <alignment horizontal="center"/>
    </xf>
    <xf numFmtId="0" fontId="1" fillId="0" borderId="0" xfId="11" applyAlignment="1">
      <alignment horizontal="center" vertical="center"/>
    </xf>
    <xf numFmtId="0" fontId="4" fillId="0" borderId="0" xfId="11" applyFont="1" applyAlignment="1">
      <alignment horizontal="center" vertical="center"/>
    </xf>
    <xf numFmtId="3" fontId="2" fillId="3" borderId="1" xfId="9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2" borderId="4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37" xfId="0" applyNumberFormat="1" applyFont="1" applyFill="1" applyBorder="1" applyAlignment="1">
      <alignment horizontal="center" vertical="center"/>
    </xf>
    <xf numFmtId="3" fontId="2" fillId="0" borderId="29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10" applyFont="1" applyBorder="1" applyAlignment="1">
      <alignment horizontal="center" vertical="center"/>
    </xf>
    <xf numFmtId="0" fontId="1" fillId="0" borderId="0" xfId="10" applyFont="1" applyAlignment="1">
      <alignment horizontal="center" vertical="center"/>
    </xf>
    <xf numFmtId="3" fontId="2" fillId="0" borderId="1" xfId="1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10" applyFont="1" applyAlignment="1">
      <alignment horizontal="center" vertical="center"/>
    </xf>
    <xf numFmtId="0" fontId="3" fillId="0" borderId="0" xfId="10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2" fillId="0" borderId="0" xfId="10" applyFont="1" applyAlignment="1">
      <alignment horizontal="center" vertical="center"/>
    </xf>
    <xf numFmtId="0" fontId="4" fillId="0" borderId="0" xfId="11" applyFont="1" applyAlignment="1">
      <alignment horizontal="center" vertical="center" wrapText="1"/>
    </xf>
    <xf numFmtId="0" fontId="28" fillId="0" borderId="0" xfId="2" applyFont="1" applyAlignment="1" applyProtection="1">
      <alignment horizontal="center" vertical="center"/>
    </xf>
    <xf numFmtId="0" fontId="2" fillId="2" borderId="0" xfId="6" applyFont="1" applyFill="1" applyBorder="1" applyAlignment="1">
      <alignment horizontal="center" vertical="center"/>
    </xf>
    <xf numFmtId="3" fontId="2" fillId="0" borderId="0" xfId="6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34" fillId="0" borderId="0" xfId="17" applyFont="1" applyAlignment="1"/>
    <xf numFmtId="0" fontId="22" fillId="5" borderId="1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center" vertical="center"/>
    </xf>
    <xf numFmtId="1" fontId="7" fillId="0" borderId="32" xfId="14" applyNumberFormat="1" applyFont="1" applyBorder="1" applyAlignment="1">
      <alignment horizontal="center" vertical="center"/>
    </xf>
    <xf numFmtId="164" fontId="7" fillId="0" borderId="32" xfId="15" applyNumberFormat="1" applyFont="1" applyBorder="1" applyAlignment="1">
      <alignment horizontal="center" vertical="center"/>
    </xf>
    <xf numFmtId="0" fontId="7" fillId="0" borderId="9" xfId="15" applyNumberFormat="1" applyFont="1" applyBorder="1" applyAlignment="1">
      <alignment horizontal="center" vertical="center"/>
    </xf>
    <xf numFmtId="1" fontId="7" fillId="0" borderId="9" xfId="15" applyNumberFormat="1" applyFont="1" applyBorder="1" applyAlignment="1">
      <alignment horizontal="center" vertical="center"/>
    </xf>
    <xf numFmtId="1" fontId="7" fillId="0" borderId="15" xfId="15" applyNumberFormat="1" applyFont="1" applyBorder="1" applyAlignment="1">
      <alignment horizontal="center" vertical="center"/>
    </xf>
    <xf numFmtId="0" fontId="2" fillId="5" borderId="1" xfId="1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30" xfId="11" applyFont="1" applyFill="1" applyBorder="1" applyAlignment="1">
      <alignment vertical="center" wrapText="1"/>
    </xf>
    <xf numFmtId="0" fontId="2" fillId="2" borderId="9" xfId="6" applyFont="1" applyFill="1" applyBorder="1" applyAlignment="1">
      <alignment vertical="center"/>
    </xf>
    <xf numFmtId="0" fontId="2" fillId="0" borderId="9" xfId="6" applyFont="1" applyFill="1" applyBorder="1" applyAlignment="1">
      <alignment horizontal="left" vertical="center"/>
    </xf>
    <xf numFmtId="0" fontId="2" fillId="0" borderId="1" xfId="7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8" xfId="13" applyFont="1" applyBorder="1" applyAlignment="1">
      <alignment horizontal="center" vertical="center"/>
    </xf>
    <xf numFmtId="0" fontId="8" fillId="3" borderId="19" xfId="1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8" fillId="0" borderId="33" xfId="0" applyNumberFormat="1" applyFont="1" applyFill="1" applyBorder="1" applyAlignment="1">
      <alignment horizontal="center" vertical="center"/>
    </xf>
    <xf numFmtId="3" fontId="8" fillId="0" borderId="54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3" fontId="8" fillId="2" borderId="55" xfId="0" applyNumberFormat="1" applyFont="1" applyFill="1" applyBorder="1" applyAlignment="1">
      <alignment horizontal="center" vertical="center"/>
    </xf>
    <xf numFmtId="1" fontId="2" fillId="0" borderId="29" xfId="15" applyNumberFormat="1" applyFont="1" applyFill="1" applyBorder="1" applyAlignment="1">
      <alignment horizontal="center" vertical="center"/>
    </xf>
    <xf numFmtId="0" fontId="17" fillId="0" borderId="0" xfId="1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2" borderId="0" xfId="0" applyFill="1" applyAlignment="1"/>
    <xf numFmtId="0" fontId="7" fillId="0" borderId="9" xfId="6" applyFont="1" applyFill="1" applyBorder="1" applyAlignment="1">
      <alignment horizontal="right" vertical="center"/>
    </xf>
    <xf numFmtId="0" fontId="7" fillId="2" borderId="9" xfId="6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/>
    </xf>
    <xf numFmtId="0" fontId="2" fillId="2" borderId="1" xfId="7" applyFont="1" applyFill="1" applyBorder="1" applyAlignment="1">
      <alignment horizontal="justify" vertical="center"/>
    </xf>
    <xf numFmtId="0" fontId="7" fillId="0" borderId="1" xfId="7" applyFont="1" applyFill="1" applyBorder="1" applyAlignment="1">
      <alignment horizontal="right" vertical="center"/>
    </xf>
    <xf numFmtId="0" fontId="7" fillId="2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horizontal="right"/>
    </xf>
    <xf numFmtId="0" fontId="1" fillId="0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horizontal="right" wrapText="1"/>
    </xf>
    <xf numFmtId="0" fontId="8" fillId="0" borderId="24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0" xfId="10" applyFont="1" applyAlignment="1">
      <alignment vertical="center"/>
    </xf>
    <xf numFmtId="0" fontId="5" fillId="0" borderId="0" xfId="2" applyAlignment="1" applyProtection="1">
      <alignment vertical="center"/>
    </xf>
    <xf numFmtId="0" fontId="7" fillId="2" borderId="0" xfId="6" applyFont="1" applyFill="1" applyBorder="1" applyAlignment="1">
      <alignment horizontal="left" vertical="center"/>
    </xf>
    <xf numFmtId="0" fontId="1" fillId="0" borderId="0" xfId="10" applyFont="1" applyAlignment="1">
      <alignment vertical="center"/>
    </xf>
    <xf numFmtId="0" fontId="0" fillId="0" borderId="0" xfId="0" applyAlignment="1">
      <alignment vertical="center"/>
    </xf>
    <xf numFmtId="0" fontId="2" fillId="0" borderId="0" xfId="11" applyFont="1" applyAlignment="1">
      <alignment vertical="center"/>
    </xf>
    <xf numFmtId="0" fontId="5" fillId="0" borderId="0" xfId="3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9" xfId="11" applyFont="1" applyFill="1" applyBorder="1" applyAlignment="1">
      <alignment horizontal="right" vertical="center" wrapText="1"/>
    </xf>
    <xf numFmtId="0" fontId="2" fillId="0" borderId="10" xfId="7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right" vertical="center" wrapText="1"/>
    </xf>
    <xf numFmtId="0" fontId="7" fillId="0" borderId="41" xfId="0" applyFont="1" applyFill="1" applyBorder="1" applyAlignment="1">
      <alignment horizontal="right" vertical="center" wrapText="1"/>
    </xf>
    <xf numFmtId="0" fontId="2" fillId="2" borderId="1" xfId="6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58" xfId="13" applyNumberFormat="1" applyFont="1" applyBorder="1" applyAlignment="1">
      <alignment horizontal="left" vertical="center"/>
    </xf>
    <xf numFmtId="1" fontId="2" fillId="3" borderId="59" xfId="13" applyNumberFormat="1" applyFont="1" applyFill="1" applyBorder="1" applyAlignment="1">
      <alignment horizontal="center" vertical="center"/>
    </xf>
    <xf numFmtId="0" fontId="7" fillId="0" borderId="0" xfId="13" applyNumberFormat="1" applyFont="1" applyAlignment="1">
      <alignment horizontal="left" vertical="center"/>
    </xf>
    <xf numFmtId="0" fontId="18" fillId="0" borderId="0" xfId="13" applyAlignment="1">
      <alignment vertical="center"/>
    </xf>
    <xf numFmtId="3" fontId="2" fillId="3" borderId="59" xfId="13" applyNumberFormat="1" applyFont="1" applyFill="1" applyBorder="1" applyAlignment="1">
      <alignment horizontal="center" vertical="center"/>
    </xf>
    <xf numFmtId="0" fontId="2" fillId="0" borderId="60" xfId="13" applyNumberFormat="1" applyFont="1" applyBorder="1" applyAlignment="1">
      <alignment horizontal="left" vertical="center"/>
    </xf>
    <xf numFmtId="1" fontId="2" fillId="3" borderId="61" xfId="13" applyNumberFormat="1" applyFont="1" applyFill="1" applyBorder="1" applyAlignment="1">
      <alignment horizontal="center" vertical="center"/>
    </xf>
    <xf numFmtId="1" fontId="2" fillId="3" borderId="1" xfId="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5" borderId="1" xfId="11" applyFont="1" applyFill="1" applyBorder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42" xfId="11" applyFont="1" applyFill="1" applyBorder="1" applyAlignment="1">
      <alignment horizontal="center" vertical="center"/>
    </xf>
    <xf numFmtId="0" fontId="2" fillId="2" borderId="11" xfId="11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right" vertical="center" wrapText="1"/>
    </xf>
    <xf numFmtId="0" fontId="7" fillId="0" borderId="9" xfId="7" applyFont="1" applyFill="1" applyBorder="1" applyAlignment="1">
      <alignment horizontal="right" vertical="center" wrapText="1"/>
    </xf>
    <xf numFmtId="0" fontId="7" fillId="0" borderId="1" xfId="7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" fillId="0" borderId="0" xfId="1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6" applyFont="1" applyFill="1" applyBorder="1" applyAlignment="1">
      <alignment horizontal="right" vertical="center"/>
    </xf>
    <xf numFmtId="0" fontId="19" fillId="2" borderId="9" xfId="6" applyFont="1" applyFill="1" applyBorder="1" applyAlignment="1">
      <alignment vertical="center"/>
    </xf>
    <xf numFmtId="1" fontId="0" fillId="0" borderId="0" xfId="0" applyNumberFormat="1"/>
    <xf numFmtId="1" fontId="2" fillId="0" borderId="0" xfId="10" applyNumberFormat="1" applyFont="1" applyAlignment="1">
      <alignment horizontal="center" vertical="center"/>
    </xf>
    <xf numFmtId="1" fontId="28" fillId="0" borderId="0" xfId="2" applyNumberFormat="1" applyFont="1" applyAlignment="1" applyProtection="1">
      <alignment horizontal="center" vertical="center"/>
    </xf>
    <xf numFmtId="1" fontId="0" fillId="2" borderId="0" xfId="0" applyNumberFormat="1" applyFill="1"/>
    <xf numFmtId="1" fontId="1" fillId="0" borderId="0" xfId="0" applyNumberFormat="1" applyFont="1"/>
    <xf numFmtId="1" fontId="0" fillId="0" borderId="0" xfId="0" applyNumberFormat="1" applyAlignment="1">
      <alignment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1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6" fillId="0" borderId="0" xfId="1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/>
    <xf numFmtId="3" fontId="35" fillId="0" borderId="0" xfId="6" applyNumberFormat="1" applyFont="1" applyFill="1" applyBorder="1" applyAlignment="1" applyProtection="1">
      <alignment horizontal="center" vertical="center"/>
    </xf>
    <xf numFmtId="3" fontId="35" fillId="2" borderId="0" xfId="6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" fontId="35" fillId="0" borderId="0" xfId="9" applyNumberFormat="1" applyFont="1" applyFill="1" applyBorder="1" applyAlignment="1">
      <alignment horizontal="center" vertical="center"/>
    </xf>
    <xf numFmtId="0" fontId="36" fillId="0" borderId="0" xfId="0" applyFont="1" applyBorder="1"/>
    <xf numFmtId="0" fontId="36" fillId="2" borderId="0" xfId="0" applyFont="1" applyFill="1" applyBorder="1"/>
    <xf numFmtId="3" fontId="35" fillId="0" borderId="0" xfId="6" applyNumberFormat="1" applyFont="1" applyFill="1" applyBorder="1" applyAlignment="1">
      <alignment horizontal="center" vertical="center"/>
    </xf>
    <xf numFmtId="3" fontId="35" fillId="3" borderId="0" xfId="6" applyNumberFormat="1" applyFont="1" applyFill="1" applyBorder="1" applyAlignment="1">
      <alignment horizontal="center" vertical="center"/>
    </xf>
    <xf numFmtId="0" fontId="36" fillId="3" borderId="0" xfId="0" applyFont="1" applyFill="1" applyBorder="1"/>
    <xf numFmtId="0" fontId="1" fillId="2" borderId="0" xfId="0" applyFont="1" applyFill="1" applyBorder="1"/>
    <xf numFmtId="0" fontId="2" fillId="3" borderId="0" xfId="5" applyFont="1" applyFill="1" applyBorder="1" applyAlignment="1">
      <alignment horizontal="center" vertical="center"/>
    </xf>
    <xf numFmtId="0" fontId="35" fillId="3" borderId="0" xfId="5" applyFont="1" applyFill="1" applyBorder="1" applyAlignment="1">
      <alignment horizontal="center" vertical="center"/>
    </xf>
    <xf numFmtId="0" fontId="38" fillId="0" borderId="0" xfId="10" applyFont="1" applyFill="1" applyBorder="1" applyAlignment="1">
      <alignment horizontal="center" vertical="center"/>
    </xf>
    <xf numFmtId="0" fontId="0" fillId="0" borderId="0" xfId="0" applyFill="1" applyBorder="1"/>
    <xf numFmtId="0" fontId="37" fillId="0" borderId="0" xfId="0" applyFont="1" applyFill="1" applyBorder="1"/>
    <xf numFmtId="0" fontId="7" fillId="0" borderId="0" xfId="0" applyFont="1" applyFill="1" applyBorder="1"/>
    <xf numFmtId="0" fontId="38" fillId="0" borderId="0" xfId="8" applyFont="1" applyFill="1" applyBorder="1" applyAlignment="1">
      <alignment horizontal="center" vertical="top"/>
    </xf>
    <xf numFmtId="3" fontId="35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/>
    <xf numFmtId="0" fontId="1" fillId="0" borderId="0" xfId="18"/>
    <xf numFmtId="0" fontId="1" fillId="2" borderId="0" xfId="18" applyFill="1"/>
    <xf numFmtId="0" fontId="1" fillId="0" borderId="0" xfId="18" applyFill="1" applyAlignment="1">
      <alignment horizontal="left" wrapText="1"/>
    </xf>
    <xf numFmtId="0" fontId="1" fillId="0" borderId="0" xfId="18" applyFill="1"/>
    <xf numFmtId="0" fontId="1" fillId="0" borderId="0" xfId="18" applyAlignment="1">
      <alignment wrapText="1"/>
    </xf>
    <xf numFmtId="0" fontId="2" fillId="0" borderId="0" xfId="18" applyFont="1" applyAlignment="1">
      <alignment horizontal="right"/>
    </xf>
    <xf numFmtId="0" fontId="1" fillId="0" borderId="0" xfId="18" applyAlignment="1">
      <alignment horizontal="right"/>
    </xf>
    <xf numFmtId="1" fontId="7" fillId="3" borderId="1" xfId="12" applyNumberFormat="1" applyFont="1" applyFill="1" applyBorder="1" applyAlignment="1">
      <alignment horizontal="center" vertical="center"/>
    </xf>
    <xf numFmtId="0" fontId="2" fillId="0" borderId="0" xfId="18" applyFont="1"/>
    <xf numFmtId="0" fontId="16" fillId="0" borderId="0" xfId="18" applyFont="1" applyBorder="1" applyAlignment="1"/>
    <xf numFmtId="0" fontId="22" fillId="0" borderId="0" xfId="18" applyFont="1" applyBorder="1" applyAlignment="1"/>
    <xf numFmtId="0" fontId="1" fillId="0" borderId="0" xfId="18" applyBorder="1"/>
    <xf numFmtId="0" fontId="9" fillId="0" borderId="0" xfId="18" applyFont="1" applyAlignment="1"/>
    <xf numFmtId="0" fontId="7" fillId="0" borderId="24" xfId="14" applyNumberFormat="1" applyFont="1" applyBorder="1" applyAlignment="1">
      <alignment horizontal="center"/>
    </xf>
    <xf numFmtId="1" fontId="21" fillId="0" borderId="51" xfId="14" applyNumberFormat="1" applyFont="1" applyBorder="1" applyAlignment="1">
      <alignment horizontal="center"/>
    </xf>
    <xf numFmtId="1" fontId="21" fillId="0" borderId="25" xfId="14" applyNumberFormat="1" applyFont="1" applyBorder="1" applyAlignment="1">
      <alignment horizontal="center"/>
    </xf>
    <xf numFmtId="1" fontId="21" fillId="0" borderId="22" xfId="14" applyNumberFormat="1" applyFont="1" applyBorder="1" applyAlignment="1">
      <alignment horizontal="center"/>
    </xf>
    <xf numFmtId="1" fontId="7" fillId="0" borderId="9" xfId="14" applyNumberFormat="1" applyFont="1" applyBorder="1" applyAlignment="1">
      <alignment horizontal="center" vertical="center"/>
    </xf>
    <xf numFmtId="1" fontId="1" fillId="0" borderId="1" xfId="14" applyNumberFormat="1" applyFont="1" applyBorder="1" applyAlignment="1">
      <alignment horizontal="center" vertical="center"/>
    </xf>
    <xf numFmtId="1" fontId="1" fillId="0" borderId="4" xfId="14" applyNumberFormat="1" applyFont="1" applyBorder="1" applyAlignment="1">
      <alignment horizontal="center" vertical="center"/>
    </xf>
    <xf numFmtId="1" fontId="7" fillId="0" borderId="15" xfId="14" applyNumberFormat="1" applyFont="1" applyBorder="1" applyAlignment="1">
      <alignment horizontal="center" vertical="center"/>
    </xf>
    <xf numFmtId="1" fontId="1" fillId="0" borderId="12" xfId="14" applyNumberFormat="1" applyFont="1" applyBorder="1" applyAlignment="1">
      <alignment horizontal="center" vertical="center"/>
    </xf>
    <xf numFmtId="1" fontId="1" fillId="0" borderId="6" xfId="14" applyNumberFormat="1" applyFont="1" applyBorder="1" applyAlignment="1">
      <alignment horizontal="center" vertical="center"/>
    </xf>
    <xf numFmtId="1" fontId="7" fillId="0" borderId="24" xfId="14" applyNumberFormat="1" applyFont="1" applyBorder="1" applyAlignment="1">
      <alignment horizontal="center"/>
    </xf>
    <xf numFmtId="1" fontId="18" fillId="0" borderId="8" xfId="14" applyNumberFormat="1" applyFont="1" applyFill="1" applyBorder="1" applyAlignment="1">
      <alignment horizontal="left" vertical="center"/>
    </xf>
    <xf numFmtId="1" fontId="18" fillId="0" borderId="1" xfId="14" applyNumberFormat="1" applyFont="1" applyFill="1" applyBorder="1" applyAlignment="1">
      <alignment horizontal="left" vertical="center"/>
    </xf>
    <xf numFmtId="1" fontId="21" fillId="0" borderId="64" xfId="14" applyNumberFormat="1" applyFont="1" applyBorder="1" applyAlignment="1">
      <alignment horizontal="center"/>
    </xf>
    <xf numFmtId="1" fontId="7" fillId="0" borderId="33" xfId="14" applyNumberFormat="1" applyFont="1" applyBorder="1" applyAlignment="1">
      <alignment horizontal="center" vertical="center"/>
    </xf>
    <xf numFmtId="1" fontId="7" fillId="0" borderId="54" xfId="14" applyNumberFormat="1" applyFont="1" applyBorder="1" applyAlignment="1">
      <alignment horizontal="center" vertical="center"/>
    </xf>
    <xf numFmtId="1" fontId="7" fillId="0" borderId="34" xfId="14" applyNumberFormat="1" applyFont="1" applyBorder="1" applyAlignment="1">
      <alignment horizontal="center"/>
    </xf>
    <xf numFmtId="0" fontId="2" fillId="5" borderId="29" xfId="8" applyFont="1" applyFill="1" applyBorder="1" applyAlignment="1">
      <alignment horizontal="center" vertical="top" wrapText="1"/>
    </xf>
    <xf numFmtId="0" fontId="2" fillId="5" borderId="29" xfId="8" applyFont="1" applyFill="1" applyBorder="1" applyAlignment="1">
      <alignment horizontal="center" vertical="top"/>
    </xf>
    <xf numFmtId="0" fontId="2" fillId="2" borderId="10" xfId="5" applyFont="1" applyFill="1" applyBorder="1" applyAlignment="1">
      <alignment horizontal="center" vertical="center"/>
    </xf>
    <xf numFmtId="3" fontId="2" fillId="2" borderId="38" xfId="5" applyNumberFormat="1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10" xfId="10" applyFont="1" applyFill="1" applyBorder="1" applyAlignment="1">
      <alignment vertical="center"/>
    </xf>
    <xf numFmtId="0" fontId="2" fillId="5" borderId="29" xfId="8" applyFont="1" applyFill="1" applyBorder="1" applyAlignment="1">
      <alignment horizontal="center" vertical="center" wrapText="1"/>
    </xf>
    <xf numFmtId="0" fontId="2" fillId="5" borderId="29" xfId="10" applyFont="1" applyFill="1" applyBorder="1" applyAlignment="1">
      <alignment horizontal="center" vertical="center"/>
    </xf>
    <xf numFmtId="3" fontId="2" fillId="2" borderId="10" xfId="10" applyNumberFormat="1" applyFont="1" applyFill="1" applyBorder="1" applyAlignment="1">
      <alignment horizontal="center" vertical="center"/>
    </xf>
    <xf numFmtId="3" fontId="2" fillId="2" borderId="38" xfId="10" applyNumberFormat="1" applyFont="1" applyFill="1" applyBorder="1" applyAlignment="1">
      <alignment horizontal="center" vertical="center"/>
    </xf>
    <xf numFmtId="3" fontId="2" fillId="2" borderId="38" xfId="6" applyNumberFormat="1" applyFont="1" applyFill="1" applyBorder="1" applyAlignment="1" applyProtection="1">
      <alignment horizontal="center" vertical="center"/>
    </xf>
    <xf numFmtId="0" fontId="7" fillId="3" borderId="0" xfId="12" applyNumberFormat="1" applyFont="1" applyFill="1" applyAlignment="1">
      <alignment horizontal="left" vertical="center"/>
    </xf>
    <xf numFmtId="0" fontId="18" fillId="3" borderId="0" xfId="12" applyFill="1"/>
    <xf numFmtId="0" fontId="8" fillId="3" borderId="0" xfId="12" applyNumberFormat="1" applyFont="1" applyFill="1" applyAlignment="1">
      <alignment horizontal="left" vertical="center"/>
    </xf>
    <xf numFmtId="0" fontId="8" fillId="3" borderId="0" xfId="12" applyFont="1" applyFill="1" applyAlignment="1">
      <alignment vertical="center"/>
    </xf>
    <xf numFmtId="0" fontId="2" fillId="3" borderId="0" xfId="12" applyNumberFormat="1" applyFont="1" applyFill="1" applyAlignment="1">
      <alignment horizontal="left" vertical="center"/>
    </xf>
    <xf numFmtId="0" fontId="2" fillId="3" borderId="0" xfId="12" applyFont="1" applyFill="1" applyAlignment="1">
      <alignment vertical="center"/>
    </xf>
    <xf numFmtId="0" fontId="19" fillId="3" borderId="0" xfId="12" applyFont="1" applyFill="1"/>
    <xf numFmtId="1" fontId="7" fillId="3" borderId="1" xfId="1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3" borderId="0" xfId="16" applyNumberFormat="1" applyFont="1" applyFill="1" applyAlignment="1">
      <alignment horizontal="left" vertical="center" wrapText="1"/>
    </xf>
    <xf numFmtId="0" fontId="8" fillId="3" borderId="0" xfId="16" applyNumberFormat="1" applyFont="1" applyFill="1" applyAlignment="1">
      <alignment horizontal="left" vertical="center" wrapText="1"/>
    </xf>
    <xf numFmtId="1" fontId="35" fillId="3" borderId="0" xfId="8" applyNumberFormat="1" applyFont="1" applyFill="1" applyBorder="1" applyAlignment="1">
      <alignment horizontal="center" vertical="center"/>
    </xf>
    <xf numFmtId="3" fontId="35" fillId="3" borderId="0" xfId="8" applyNumberFormat="1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19" fillId="3" borderId="0" xfId="12" applyFont="1" applyFill="1" applyBorder="1" applyAlignment="1"/>
    <xf numFmtId="0" fontId="0" fillId="3" borderId="0" xfId="0" applyFill="1" applyBorder="1" applyAlignment="1"/>
    <xf numFmtId="1" fontId="2" fillId="3" borderId="38" xfId="8" applyNumberFormat="1" applyFont="1" applyFill="1" applyBorder="1" applyAlignment="1">
      <alignment horizontal="center" vertical="center"/>
    </xf>
    <xf numFmtId="0" fontId="2" fillId="3" borderId="0" xfId="16" applyNumberFormat="1" applyFont="1" applyFill="1" applyBorder="1" applyAlignment="1">
      <alignment horizontal="right" vertical="center" wrapText="1"/>
    </xf>
    <xf numFmtId="0" fontId="2" fillId="3" borderId="0" xfId="12" applyNumberFormat="1" applyFont="1" applyFill="1" applyBorder="1" applyAlignment="1">
      <alignment horizontal="left" vertical="center"/>
    </xf>
    <xf numFmtId="0" fontId="1" fillId="0" borderId="0" xfId="1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0" xfId="10" applyAlignment="1">
      <alignment horizontal="center" vertical="center" wrapText="1"/>
    </xf>
    <xf numFmtId="0" fontId="1" fillId="0" borderId="0" xfId="0" applyFont="1" applyFill="1" applyBorder="1"/>
    <xf numFmtId="3" fontId="35" fillId="0" borderId="0" xfId="5" applyNumberFormat="1" applyFont="1" applyFill="1" applyBorder="1" applyAlignment="1">
      <alignment horizontal="left" vertical="center"/>
    </xf>
    <xf numFmtId="3" fontId="35" fillId="0" borderId="0" xfId="0" applyNumberFormat="1" applyFont="1" applyFill="1" applyBorder="1" applyAlignment="1">
      <alignment horizontal="left" vertical="center"/>
    </xf>
    <xf numFmtId="0" fontId="9" fillId="0" borderId="0" xfId="18" applyFont="1" applyAlignment="1">
      <alignment wrapText="1"/>
    </xf>
    <xf numFmtId="0" fontId="9" fillId="0" borderId="0" xfId="18" applyFont="1"/>
    <xf numFmtId="0" fontId="8" fillId="0" borderId="0" xfId="18" applyFont="1" applyAlignment="1">
      <alignment horizontal="right"/>
    </xf>
    <xf numFmtId="0" fontId="9" fillId="0" borderId="0" xfId="18" applyFont="1" applyAlignment="1">
      <alignment horizontal="right"/>
    </xf>
    <xf numFmtId="0" fontId="8" fillId="3" borderId="0" xfId="12" applyNumberFormat="1" applyFont="1" applyFill="1" applyBorder="1" applyAlignment="1">
      <alignment horizontal="left" vertical="center"/>
    </xf>
    <xf numFmtId="3" fontId="7" fillId="3" borderId="1" xfId="12" applyNumberFormat="1" applyFont="1" applyFill="1" applyBorder="1" applyAlignment="1">
      <alignment horizontal="center"/>
    </xf>
    <xf numFmtId="3" fontId="7" fillId="3" borderId="1" xfId="12" applyNumberFormat="1" applyFont="1" applyFill="1" applyBorder="1" applyAlignment="1">
      <alignment horizontal="center" vertical="center"/>
    </xf>
    <xf numFmtId="0" fontId="7" fillId="3" borderId="1" xfId="12" applyNumberFormat="1" applyFont="1" applyFill="1" applyBorder="1" applyAlignment="1">
      <alignment horizontal="center" vertical="center"/>
    </xf>
    <xf numFmtId="0" fontId="7" fillId="3" borderId="38" xfId="18" applyFont="1" applyFill="1" applyBorder="1" applyAlignment="1">
      <alignment horizontal="center" vertical="center"/>
    </xf>
    <xf numFmtId="0" fontId="18" fillId="3" borderId="0" xfId="12" applyFill="1" applyBorder="1"/>
    <xf numFmtId="1" fontId="39" fillId="3" borderId="11" xfId="8" applyNumberFormat="1" applyFont="1" applyFill="1" applyBorder="1" applyAlignment="1">
      <alignment horizontal="center" vertical="center"/>
    </xf>
    <xf numFmtId="1" fontId="2" fillId="3" borderId="27" xfId="8" applyNumberFormat="1" applyFont="1" applyFill="1" applyBorder="1" applyAlignment="1">
      <alignment horizontal="center" vertical="center"/>
    </xf>
    <xf numFmtId="1" fontId="2" fillId="3" borderId="11" xfId="8" applyNumberFormat="1" applyFont="1" applyFill="1" applyBorder="1" applyAlignment="1">
      <alignment horizontal="center" vertical="center"/>
    </xf>
    <xf numFmtId="0" fontId="2" fillId="3" borderId="8" xfId="16" applyNumberFormat="1" applyFont="1" applyFill="1" applyBorder="1" applyAlignment="1">
      <alignment horizontal="left" vertical="center" wrapText="1"/>
    </xf>
    <xf numFmtId="0" fontId="2" fillId="3" borderId="10" xfId="16" applyNumberFormat="1" applyFont="1" applyFill="1" applyBorder="1" applyAlignment="1">
      <alignment horizontal="right" vertical="center" wrapText="1"/>
    </xf>
    <xf numFmtId="0" fontId="19" fillId="0" borderId="0" xfId="16" applyFont="1" applyAlignment="1">
      <alignment horizontal="left"/>
    </xf>
    <xf numFmtId="0" fontId="19" fillId="0" borderId="0" xfId="16" applyFont="1"/>
    <xf numFmtId="0" fontId="19" fillId="0" borderId="0" xfId="18" applyFont="1"/>
    <xf numFmtId="0" fontId="7" fillId="3" borderId="1" xfId="16" applyNumberFormat="1" applyFont="1" applyFill="1" applyBorder="1" applyAlignment="1">
      <alignment horizontal="left" wrapText="1"/>
    </xf>
    <xf numFmtId="0" fontId="7" fillId="3" borderId="0" xfId="18" applyFont="1" applyFill="1" applyAlignment="1">
      <alignment horizontal="left" wrapText="1"/>
    </xf>
    <xf numFmtId="0" fontId="7" fillId="3" borderId="0" xfId="16" applyNumberFormat="1" applyFont="1" applyFill="1" applyAlignment="1">
      <alignment horizontal="left"/>
    </xf>
    <xf numFmtId="1" fontId="21" fillId="3" borderId="51" xfId="14" applyNumberFormat="1" applyFont="1" applyFill="1" applyBorder="1" applyAlignment="1">
      <alignment horizontal="center"/>
    </xf>
    <xf numFmtId="1" fontId="2" fillId="3" borderId="1" xfId="14" applyNumberFormat="1" applyFont="1" applyFill="1" applyBorder="1" applyAlignment="1">
      <alignment horizontal="center" vertical="center"/>
    </xf>
    <xf numFmtId="1" fontId="2" fillId="3" borderId="22" xfId="14" applyNumberFormat="1" applyFont="1" applyFill="1" applyBorder="1" applyAlignment="1">
      <alignment horizontal="center" vertical="center"/>
    </xf>
    <xf numFmtId="1" fontId="1" fillId="3" borderId="44" xfId="14" applyNumberFormat="1" applyFont="1" applyFill="1" applyBorder="1" applyAlignment="1">
      <alignment horizontal="center" vertical="center"/>
    </xf>
    <xf numFmtId="1" fontId="1" fillId="3" borderId="7" xfId="14" applyNumberFormat="1" applyFont="1" applyFill="1" applyBorder="1" applyAlignment="1">
      <alignment horizontal="center" vertical="center"/>
    </xf>
    <xf numFmtId="1" fontId="1" fillId="3" borderId="18" xfId="14" applyNumberFormat="1" applyFont="1" applyFill="1" applyBorder="1" applyAlignment="1">
      <alignment horizontal="center" vertical="center"/>
    </xf>
    <xf numFmtId="1" fontId="1" fillId="3" borderId="62" xfId="14" applyNumberFormat="1" applyFont="1" applyFill="1" applyBorder="1" applyAlignment="1">
      <alignment horizontal="center" vertical="center"/>
    </xf>
    <xf numFmtId="1" fontId="1" fillId="3" borderId="8" xfId="14" applyNumberFormat="1" applyFont="1" applyFill="1" applyBorder="1" applyAlignment="1">
      <alignment horizontal="center" vertical="center"/>
    </xf>
    <xf numFmtId="1" fontId="1" fillId="3" borderId="1" xfId="14" applyNumberFormat="1" applyFont="1" applyFill="1" applyBorder="1" applyAlignment="1">
      <alignment horizontal="center" vertical="center"/>
    </xf>
    <xf numFmtId="1" fontId="1" fillId="3" borderId="19" xfId="14" applyNumberFormat="1" applyFont="1" applyFill="1" applyBorder="1" applyAlignment="1">
      <alignment horizontal="center" vertical="center"/>
    </xf>
    <xf numFmtId="1" fontId="1" fillId="3" borderId="4" xfId="14" applyNumberFormat="1" applyFont="1" applyFill="1" applyBorder="1" applyAlignment="1">
      <alignment horizontal="center" vertical="center"/>
    </xf>
    <xf numFmtId="1" fontId="1" fillId="3" borderId="40" xfId="14" applyNumberFormat="1" applyFont="1" applyFill="1" applyBorder="1" applyAlignment="1">
      <alignment horizontal="center" vertical="center"/>
    </xf>
    <xf numFmtId="1" fontId="2" fillId="3" borderId="37" xfId="14" applyNumberFormat="1" applyFont="1" applyFill="1" applyBorder="1" applyAlignment="1">
      <alignment horizontal="center" vertical="center"/>
    </xf>
    <xf numFmtId="1" fontId="1" fillId="3" borderId="29" xfId="14" applyNumberFormat="1" applyFont="1" applyFill="1" applyBorder="1" applyAlignment="1">
      <alignment horizontal="center" vertical="center"/>
    </xf>
    <xf numFmtId="1" fontId="2" fillId="3" borderId="40" xfId="14" applyNumberFormat="1" applyFont="1" applyFill="1" applyBorder="1" applyAlignment="1">
      <alignment horizontal="center" vertical="center"/>
    </xf>
    <xf numFmtId="1" fontId="1" fillId="3" borderId="10" xfId="14" applyNumberFormat="1" applyFont="1" applyFill="1" applyBorder="1" applyAlignment="1">
      <alignment horizontal="center" vertical="center"/>
    </xf>
    <xf numFmtId="1" fontId="2" fillId="3" borderId="8" xfId="14" applyNumberFormat="1" applyFont="1" applyFill="1" applyBorder="1" applyAlignment="1">
      <alignment horizontal="center" vertical="center"/>
    </xf>
    <xf numFmtId="1" fontId="2" fillId="3" borderId="27" xfId="14" applyNumberFormat="1" applyFont="1" applyFill="1" applyBorder="1" applyAlignment="1">
      <alignment horizontal="center" vertical="center"/>
    </xf>
    <xf numFmtId="1" fontId="2" fillId="3" borderId="10" xfId="14" applyNumberFormat="1" applyFont="1" applyFill="1" applyBorder="1" applyAlignment="1">
      <alignment horizontal="center" vertical="center"/>
    </xf>
    <xf numFmtId="1" fontId="2" fillId="3" borderId="29" xfId="14" applyNumberFormat="1" applyFont="1" applyFill="1" applyBorder="1" applyAlignment="1">
      <alignment horizontal="center" vertical="center"/>
    </xf>
    <xf numFmtId="0" fontId="7" fillId="3" borderId="0" xfId="12" applyFont="1" applyFill="1" applyAlignment="1">
      <alignment vertical="center"/>
    </xf>
    <xf numFmtId="0" fontId="1" fillId="3" borderId="0" xfId="12" applyFont="1" applyFill="1"/>
    <xf numFmtId="0" fontId="1" fillId="0" borderId="0" xfId="16" applyNumberFormat="1" applyFont="1" applyAlignment="1">
      <alignment vertical="center"/>
    </xf>
    <xf numFmtId="0" fontId="7" fillId="0" borderId="0" xfId="16" applyNumberFormat="1" applyFont="1" applyAlignment="1">
      <alignment vertical="center"/>
    </xf>
    <xf numFmtId="0" fontId="1" fillId="3" borderId="0" xfId="18" applyFill="1" applyBorder="1"/>
    <xf numFmtId="0" fontId="7" fillId="3" borderId="0" xfId="12" applyNumberFormat="1" applyFont="1" applyFill="1" applyBorder="1" applyAlignment="1">
      <alignment horizontal="left" vertical="center"/>
    </xf>
    <xf numFmtId="1" fontId="40" fillId="0" borderId="0" xfId="14" applyNumberFormat="1" applyFont="1" applyFill="1" applyBorder="1" applyAlignment="1">
      <alignment horizontal="left" vertical="center"/>
    </xf>
    <xf numFmtId="1" fontId="18" fillId="0" borderId="0" xfId="14" applyNumberFormat="1" applyFont="1" applyFill="1" applyBorder="1" applyAlignment="1">
      <alignment horizontal="left" vertical="center"/>
    </xf>
    <xf numFmtId="0" fontId="2" fillId="0" borderId="0" xfId="14" applyNumberFormat="1" applyFont="1" applyFill="1" applyBorder="1" applyAlignment="1">
      <alignment horizontal="center" vertical="center"/>
    </xf>
    <xf numFmtId="1" fontId="8" fillId="3" borderId="0" xfId="14" applyNumberFormat="1" applyFont="1" applyFill="1" applyBorder="1" applyAlignment="1">
      <alignment vertical="center"/>
    </xf>
    <xf numFmtId="1" fontId="7" fillId="3" borderId="0" xfId="14" applyNumberFormat="1" applyFont="1" applyFill="1" applyBorder="1" applyAlignment="1">
      <alignment vertical="center"/>
    </xf>
    <xf numFmtId="1" fontId="18" fillId="3" borderId="0" xfId="14" applyNumberFormat="1" applyFont="1" applyFill="1" applyBorder="1" applyAlignment="1">
      <alignment horizontal="left" vertical="center"/>
    </xf>
    <xf numFmtId="0" fontId="20" fillId="0" borderId="1" xfId="12" applyNumberFormat="1" applyFont="1" applyFill="1" applyBorder="1" applyAlignment="1">
      <alignment horizontal="left" vertical="center" wrapText="1"/>
    </xf>
    <xf numFmtId="1" fontId="20" fillId="3" borderId="1" xfId="12" applyNumberFormat="1" applyFont="1" applyFill="1" applyBorder="1" applyAlignment="1">
      <alignment horizontal="center" vertical="center" wrapText="1"/>
    </xf>
    <xf numFmtId="0" fontId="7" fillId="3" borderId="0" xfId="15" applyNumberFormat="1" applyFont="1" applyFill="1" applyAlignment="1">
      <alignment horizontal="left" wrapText="1"/>
    </xf>
    <xf numFmtId="1" fontId="2" fillId="3" borderId="65" xfId="14" applyNumberFormat="1" applyFont="1" applyFill="1" applyBorder="1" applyAlignment="1">
      <alignment horizontal="center" vertical="center"/>
    </xf>
    <xf numFmtId="1" fontId="1" fillId="0" borderId="0" xfId="14" applyNumberFormat="1" applyFont="1" applyBorder="1" applyAlignment="1">
      <alignment horizontal="center"/>
    </xf>
    <xf numFmtId="1" fontId="8" fillId="3" borderId="0" xfId="14" applyNumberFormat="1" applyFont="1" applyFill="1" applyBorder="1" applyAlignment="1">
      <alignment horizontal="center"/>
    </xf>
    <xf numFmtId="1" fontId="21" fillId="0" borderId="0" xfId="14" applyNumberFormat="1" applyFont="1" applyBorder="1" applyAlignment="1">
      <alignment horizontal="center"/>
    </xf>
    <xf numFmtId="1" fontId="2" fillId="0" borderId="0" xfId="14" applyNumberFormat="1" applyFont="1" applyFill="1" applyBorder="1" applyAlignment="1">
      <alignment horizontal="center" vertical="center"/>
    </xf>
    <xf numFmtId="1" fontId="1" fillId="0" borderId="44" xfId="14" applyNumberFormat="1" applyFont="1" applyFill="1" applyBorder="1" applyAlignment="1">
      <alignment horizontal="center" vertical="center"/>
    </xf>
    <xf numFmtId="1" fontId="2" fillId="0" borderId="7" xfId="14" applyNumberFormat="1" applyFont="1" applyFill="1" applyBorder="1" applyAlignment="1">
      <alignment horizontal="center" vertical="center"/>
    </xf>
    <xf numFmtId="1" fontId="2" fillId="0" borderId="18" xfId="14" applyNumberFormat="1" applyFont="1" applyFill="1" applyBorder="1" applyAlignment="1">
      <alignment horizontal="center" vertical="center"/>
    </xf>
    <xf numFmtId="1" fontId="2" fillId="0" borderId="19" xfId="14" applyNumberFormat="1" applyFont="1" applyFill="1" applyBorder="1" applyAlignment="1">
      <alignment horizontal="center" vertical="center"/>
    </xf>
    <xf numFmtId="1" fontId="2" fillId="3" borderId="19" xfId="14" applyNumberFormat="1" applyFont="1" applyFill="1" applyBorder="1" applyAlignment="1">
      <alignment horizontal="center" vertical="center"/>
    </xf>
    <xf numFmtId="1" fontId="7" fillId="0" borderId="3" xfId="14" applyNumberFormat="1" applyFont="1" applyBorder="1" applyAlignment="1">
      <alignment horizontal="center" vertical="center"/>
    </xf>
    <xf numFmtId="1" fontId="18" fillId="0" borderId="66" xfId="14" applyNumberFormat="1" applyFont="1" applyFill="1" applyBorder="1" applyAlignment="1">
      <alignment horizontal="left" vertical="center"/>
    </xf>
    <xf numFmtId="1" fontId="18" fillId="0" borderId="6" xfId="14" applyNumberFormat="1" applyFont="1" applyFill="1" applyBorder="1" applyAlignment="1">
      <alignment horizontal="left" vertical="center"/>
    </xf>
    <xf numFmtId="1" fontId="18" fillId="0" borderId="45" xfId="14" applyNumberFormat="1" applyFont="1" applyFill="1" applyBorder="1" applyAlignment="1">
      <alignment horizontal="left" vertical="center"/>
    </xf>
    <xf numFmtId="1" fontId="2" fillId="0" borderId="40" xfId="15" applyNumberFormat="1" applyFont="1" applyFill="1" applyBorder="1" applyAlignment="1">
      <alignment horizontal="center" vertical="center"/>
    </xf>
    <xf numFmtId="0" fontId="7" fillId="3" borderId="22" xfId="15" applyNumberFormat="1" applyFont="1" applyFill="1" applyBorder="1" applyAlignment="1">
      <alignment horizontal="left" wrapText="1"/>
    </xf>
    <xf numFmtId="1" fontId="2" fillId="0" borderId="10" xfId="15" applyNumberFormat="1" applyFont="1" applyFill="1" applyBorder="1" applyAlignment="1">
      <alignment horizontal="center" vertical="center"/>
    </xf>
    <xf numFmtId="1" fontId="2" fillId="0" borderId="40" xfId="14" applyNumberFormat="1" applyFont="1" applyFill="1" applyBorder="1" applyAlignment="1">
      <alignment horizontal="center" vertical="center"/>
    </xf>
    <xf numFmtId="0" fontId="0" fillId="0" borderId="0" xfId="0" applyAlignment="1"/>
    <xf numFmtId="0" fontId="17" fillId="0" borderId="0" xfId="0" applyFont="1" applyAlignment="1">
      <alignment horizontal="center" vertical="center" wrapText="1"/>
    </xf>
    <xf numFmtId="1" fontId="2" fillId="0" borderId="24" xfId="15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left"/>
    </xf>
    <xf numFmtId="1" fontId="2" fillId="0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9" fillId="3" borderId="29" xfId="0" applyNumberFormat="1" applyFont="1" applyFill="1" applyBorder="1" applyAlignment="1">
      <alignment horizontal="center" vertical="center"/>
    </xf>
    <xf numFmtId="1" fontId="2" fillId="3" borderId="27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39" fillId="3" borderId="1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/>
    <xf numFmtId="1" fontId="39" fillId="3" borderId="11" xfId="5" applyNumberFormat="1" applyFont="1" applyFill="1" applyBorder="1" applyAlignment="1">
      <alignment horizontal="center" vertical="center"/>
    </xf>
    <xf numFmtId="1" fontId="39" fillId="3" borderId="27" xfId="0" applyNumberFormat="1" applyFont="1" applyFill="1" applyBorder="1" applyAlignment="1">
      <alignment horizontal="center" vertical="center"/>
    </xf>
    <xf numFmtId="1" fontId="2" fillId="3" borderId="10" xfId="6" applyNumberFormat="1" applyFont="1" applyFill="1" applyBorder="1" applyAlignment="1">
      <alignment horizontal="center" vertical="center"/>
    </xf>
    <xf numFmtId="1" fontId="2" fillId="3" borderId="38" xfId="6" applyNumberFormat="1" applyFont="1" applyFill="1" applyBorder="1" applyAlignment="1">
      <alignment horizontal="center" vertical="center"/>
    </xf>
    <xf numFmtId="1" fontId="2" fillId="3" borderId="38" xfId="6" applyNumberFormat="1" applyFont="1" applyFill="1" applyBorder="1" applyAlignment="1" applyProtection="1">
      <alignment horizontal="center" vertical="center"/>
    </xf>
    <xf numFmtId="1" fontId="2" fillId="3" borderId="11" xfId="6" applyNumberFormat="1" applyFont="1" applyFill="1" applyBorder="1" applyAlignment="1">
      <alignment horizontal="center" vertical="center"/>
    </xf>
    <xf numFmtId="1" fontId="2" fillId="3" borderId="29" xfId="5" applyNumberFormat="1" applyFont="1" applyFill="1" applyBorder="1" applyAlignment="1">
      <alignment horizontal="center" vertical="center"/>
    </xf>
    <xf numFmtId="1" fontId="2" fillId="3" borderId="29" xfId="6" applyNumberFormat="1" applyFont="1" applyFill="1" applyBorder="1" applyAlignment="1">
      <alignment horizontal="center" vertical="center"/>
    </xf>
    <xf numFmtId="1" fontId="2" fillId="3" borderId="11" xfId="5" applyNumberFormat="1" applyFont="1" applyFill="1" applyBorder="1" applyAlignment="1">
      <alignment horizontal="center" vertical="center"/>
    </xf>
    <xf numFmtId="1" fontId="2" fillId="3" borderId="27" xfId="5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38" xfId="0" applyNumberFormat="1" applyFont="1" applyFill="1" applyBorder="1" applyAlignment="1">
      <alignment horizontal="center" vertical="center"/>
    </xf>
    <xf numFmtId="1" fontId="2" fillId="3" borderId="10" xfId="5" applyNumberFormat="1" applyFont="1" applyFill="1" applyBorder="1" applyAlignment="1">
      <alignment horizontal="center" vertical="center"/>
    </xf>
    <xf numFmtId="1" fontId="2" fillId="3" borderId="38" xfId="5" applyNumberFormat="1" applyFont="1" applyFill="1" applyBorder="1" applyAlignment="1">
      <alignment horizontal="center" vertical="center"/>
    </xf>
    <xf numFmtId="1" fontId="39" fillId="3" borderId="29" xfId="5" applyNumberFormat="1" applyFont="1" applyFill="1" applyBorder="1" applyAlignment="1">
      <alignment horizontal="center" vertical="center"/>
    </xf>
    <xf numFmtId="1" fontId="39" fillId="3" borderId="11" xfId="0" applyNumberFormat="1" applyFont="1" applyFill="1" applyBorder="1" applyAlignment="1">
      <alignment horizontal="center" vertical="center"/>
    </xf>
    <xf numFmtId="1" fontId="39" fillId="3" borderId="10" xfId="5" applyNumberFormat="1" applyFont="1" applyFill="1" applyBorder="1" applyAlignment="1">
      <alignment horizontal="center" vertical="center"/>
    </xf>
    <xf numFmtId="1" fontId="39" fillId="3" borderId="38" xfId="5" applyNumberFormat="1" applyFont="1" applyFill="1" applyBorder="1" applyAlignment="1">
      <alignment horizontal="center" vertical="center"/>
    </xf>
    <xf numFmtId="1" fontId="39" fillId="3" borderId="8" xfId="0" applyNumberFormat="1" applyFont="1" applyFill="1" applyBorder="1"/>
    <xf numFmtId="1" fontId="39" fillId="3" borderId="27" xfId="0" applyNumberFormat="1" applyFont="1" applyFill="1" applyBorder="1" applyAlignment="1">
      <alignment horizontal="center"/>
    </xf>
    <xf numFmtId="1" fontId="2" fillId="2" borderId="42" xfId="11" applyNumberFormat="1" applyFont="1" applyFill="1" applyBorder="1" applyAlignment="1">
      <alignment horizontal="center" vertical="center"/>
    </xf>
    <xf numFmtId="1" fontId="2" fillId="2" borderId="1" xfId="11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2" fillId="2" borderId="11" xfId="11" applyNumberFormat="1" applyFont="1" applyFill="1" applyBorder="1" applyAlignment="1">
      <alignment horizontal="center" vertical="center"/>
    </xf>
    <xf numFmtId="1" fontId="2" fillId="0" borderId="1" xfId="11" applyNumberFormat="1" applyFont="1" applyFill="1" applyBorder="1" applyAlignment="1">
      <alignment horizontal="center" vertical="center"/>
    </xf>
    <xf numFmtId="1" fontId="2" fillId="2" borderId="8" xfId="11" applyNumberFormat="1" applyFont="1" applyFill="1" applyBorder="1" applyAlignment="1">
      <alignment horizontal="center" vertical="center"/>
    </xf>
    <xf numFmtId="1" fontId="7" fillId="2" borderId="8" xfId="9" applyNumberFormat="1" applyFont="1" applyFill="1" applyBorder="1" applyAlignment="1">
      <alignment horizontal="center" vertical="center"/>
    </xf>
    <xf numFmtId="1" fontId="7" fillId="2" borderId="1" xfId="9" applyNumberFormat="1" applyFont="1" applyFill="1" applyBorder="1" applyAlignment="1">
      <alignment horizontal="center" vertical="center"/>
    </xf>
    <xf numFmtId="1" fontId="2" fillId="2" borderId="8" xfId="9" applyNumberFormat="1" applyFont="1" applyFill="1" applyBorder="1" applyAlignment="1">
      <alignment horizontal="center" vertical="center"/>
    </xf>
    <xf numFmtId="1" fontId="2" fillId="2" borderId="1" xfId="9" applyNumberFormat="1" applyFont="1" applyFill="1" applyBorder="1" applyAlignment="1">
      <alignment horizontal="center" vertical="center"/>
    </xf>
    <xf numFmtId="1" fontId="2" fillId="0" borderId="8" xfId="9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8" xfId="9" applyNumberFormat="1" applyFont="1" applyFill="1" applyBorder="1" applyAlignment="1">
      <alignment horizontal="center" vertical="center"/>
    </xf>
    <xf numFmtId="1" fontId="7" fillId="2" borderId="42" xfId="9" applyNumberFormat="1" applyFont="1" applyFill="1" applyBorder="1" applyAlignment="1">
      <alignment horizontal="center" vertical="center"/>
    </xf>
    <xf numFmtId="1" fontId="2" fillId="0" borderId="29" xfId="9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4" borderId="1" xfId="9" applyNumberFormat="1" applyFont="1" applyFill="1" applyBorder="1" applyAlignment="1">
      <alignment horizontal="center" vertical="center"/>
    </xf>
    <xf numFmtId="1" fontId="2" fillId="0" borderId="5" xfId="15" applyNumberFormat="1" applyFont="1" applyFill="1" applyBorder="1" applyAlignment="1">
      <alignment vertical="center"/>
    </xf>
    <xf numFmtId="1" fontId="2" fillId="0" borderId="7" xfId="15" applyNumberFormat="1" applyFont="1" applyFill="1" applyBorder="1" applyAlignment="1">
      <alignment horizontal="left" vertical="center"/>
    </xf>
    <xf numFmtId="1" fontId="2" fillId="0" borderId="2" xfId="15" applyNumberFormat="1" applyFont="1" applyFill="1" applyBorder="1" applyAlignment="1">
      <alignment horizontal="left" vertical="center"/>
    </xf>
    <xf numFmtId="1" fontId="2" fillId="0" borderId="18" xfId="15" applyNumberFormat="1" applyFont="1" applyFill="1" applyBorder="1" applyAlignment="1">
      <alignment horizontal="left" vertical="center"/>
    </xf>
    <xf numFmtId="1" fontId="2" fillId="0" borderId="30" xfId="15" applyNumberFormat="1" applyFont="1" applyFill="1" applyBorder="1" applyAlignment="1">
      <alignment horizontal="left" vertical="center"/>
    </xf>
    <xf numFmtId="1" fontId="2" fillId="0" borderId="38" xfId="15" applyNumberFormat="1" applyFont="1" applyFill="1" applyBorder="1" applyAlignment="1">
      <alignment horizontal="center" vertical="center"/>
    </xf>
    <xf numFmtId="1" fontId="2" fillId="0" borderId="8" xfId="15" applyNumberFormat="1" applyFont="1" applyFill="1" applyBorder="1" applyAlignment="1">
      <alignment horizontal="left" vertical="center"/>
    </xf>
    <xf numFmtId="1" fontId="2" fillId="0" borderId="1" xfId="15" applyNumberFormat="1" applyFont="1" applyFill="1" applyBorder="1" applyAlignment="1">
      <alignment horizontal="left" vertical="center"/>
    </xf>
    <xf numFmtId="1" fontId="2" fillId="0" borderId="19" xfId="15" applyNumberFormat="1" applyFont="1" applyFill="1" applyBorder="1" applyAlignment="1">
      <alignment horizontal="left" vertical="center"/>
    </xf>
    <xf numFmtId="1" fontId="2" fillId="0" borderId="9" xfId="15" applyNumberFormat="1" applyFont="1" applyFill="1" applyBorder="1" applyAlignment="1">
      <alignment horizontal="left" vertical="center"/>
    </xf>
    <xf numFmtId="1" fontId="2" fillId="0" borderId="4" xfId="15" applyNumberFormat="1" applyFont="1" applyFill="1" applyBorder="1" applyAlignment="1">
      <alignment horizontal="left" vertical="center"/>
    </xf>
    <xf numFmtId="1" fontId="2" fillId="0" borderId="11" xfId="15" applyNumberFormat="1" applyFont="1" applyFill="1" applyBorder="1" applyAlignment="1">
      <alignment horizontal="left" vertical="center"/>
    </xf>
    <xf numFmtId="1" fontId="2" fillId="0" borderId="37" xfId="15" applyNumberFormat="1" applyFont="1" applyFill="1" applyBorder="1" applyAlignment="1">
      <alignment horizontal="left" vertical="center"/>
    </xf>
    <xf numFmtId="1" fontId="2" fillId="0" borderId="40" xfId="15" applyNumberFormat="1" applyFont="1" applyFill="1" applyBorder="1" applyAlignment="1">
      <alignment horizontal="left" vertical="center"/>
    </xf>
    <xf numFmtId="1" fontId="2" fillId="0" borderId="10" xfId="15" applyNumberFormat="1" applyFont="1" applyFill="1" applyBorder="1" applyAlignment="1">
      <alignment horizontal="left" vertical="center"/>
    </xf>
    <xf numFmtId="1" fontId="2" fillId="0" borderId="63" xfId="15" applyNumberFormat="1" applyFont="1" applyFill="1" applyBorder="1" applyAlignment="1">
      <alignment horizontal="left" vertical="center"/>
    </xf>
    <xf numFmtId="1" fontId="2" fillId="0" borderId="47" xfId="15" applyNumberFormat="1" applyFont="1" applyFill="1" applyBorder="1" applyAlignment="1">
      <alignment horizontal="left" vertical="center"/>
    </xf>
    <xf numFmtId="1" fontId="2" fillId="0" borderId="12" xfId="15" applyNumberFormat="1" applyFont="1" applyFill="1" applyBorder="1" applyAlignment="1">
      <alignment horizontal="left" vertical="center"/>
    </xf>
    <xf numFmtId="1" fontId="2" fillId="0" borderId="6" xfId="15" applyNumberFormat="1" applyFont="1" applyFill="1" applyBorder="1" applyAlignment="1">
      <alignment horizontal="left" vertical="center"/>
    </xf>
    <xf numFmtId="1" fontId="2" fillId="0" borderId="48" xfId="15" applyNumberFormat="1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0" borderId="1" xfId="9" applyNumberFormat="1" applyFont="1" applyFill="1" applyBorder="1" applyAlignment="1">
      <alignment horizontal="center" vertical="center"/>
    </xf>
    <xf numFmtId="0" fontId="8" fillId="5" borderId="1" xfId="11" applyFont="1" applyFill="1" applyBorder="1" applyAlignment="1">
      <alignment horizontal="center" vertical="center"/>
    </xf>
    <xf numFmtId="1" fontId="7" fillId="0" borderId="0" xfId="15" applyNumberFormat="1" applyFont="1" applyBorder="1" applyAlignment="1">
      <alignment horizontal="center" vertical="center"/>
    </xf>
    <xf numFmtId="1" fontId="2" fillId="0" borderId="0" xfId="15" applyNumberFormat="1" applyFont="1" applyFill="1" applyBorder="1" applyAlignment="1">
      <alignment horizontal="center" vertical="center"/>
    </xf>
    <xf numFmtId="1" fontId="2" fillId="0" borderId="0" xfId="15" applyNumberFormat="1" applyFont="1" applyFill="1" applyBorder="1" applyAlignment="1">
      <alignment vertical="center"/>
    </xf>
    <xf numFmtId="1" fontId="2" fillId="0" borderId="0" xfId="15" applyNumberFormat="1" applyFont="1" applyFill="1" applyBorder="1" applyAlignment="1">
      <alignment horizontal="left" vertical="center"/>
    </xf>
    <xf numFmtId="1" fontId="1" fillId="3" borderId="37" xfId="14" applyNumberFormat="1" applyFont="1" applyFill="1" applyBorder="1" applyAlignment="1">
      <alignment horizontal="center" vertical="center"/>
    </xf>
    <xf numFmtId="1" fontId="39" fillId="3" borderId="28" xfId="5" applyNumberFormat="1" applyFont="1" applyFill="1" applyBorder="1" applyAlignment="1">
      <alignment horizontal="center" vertical="center"/>
    </xf>
    <xf numFmtId="1" fontId="39" fillId="3" borderId="67" xfId="5" applyNumberFormat="1" applyFont="1" applyFill="1" applyBorder="1" applyAlignment="1">
      <alignment horizontal="center" vertical="center"/>
    </xf>
    <xf numFmtId="1" fontId="39" fillId="3" borderId="37" xfId="0" applyNumberFormat="1" applyFont="1" applyFill="1" applyBorder="1" applyAlignment="1">
      <alignment horizontal="center" vertical="center"/>
    </xf>
    <xf numFmtId="1" fontId="2" fillId="3" borderId="27" xfId="6" applyNumberFormat="1" applyFont="1" applyFill="1" applyBorder="1" applyAlignment="1">
      <alignment horizontal="center" vertical="center"/>
    </xf>
    <xf numFmtId="1" fontId="2" fillId="3" borderId="29" xfId="0" applyNumberFormat="1" applyFont="1" applyFill="1" applyBorder="1" applyAlignment="1">
      <alignment horizontal="center" vertical="center"/>
    </xf>
    <xf numFmtId="1" fontId="2" fillId="3" borderId="29" xfId="9" applyNumberFormat="1" applyFont="1" applyFill="1" applyBorder="1" applyAlignment="1">
      <alignment horizontal="center" vertical="center"/>
    </xf>
    <xf numFmtId="1" fontId="2" fillId="3" borderId="27" xfId="6" applyNumberFormat="1" applyFont="1" applyFill="1" applyBorder="1" applyAlignment="1" applyProtection="1">
      <alignment horizontal="center" vertical="center"/>
    </xf>
    <xf numFmtId="1" fontId="39" fillId="3" borderId="27" xfId="5" applyNumberFormat="1" applyFont="1" applyFill="1" applyBorder="1" applyAlignment="1">
      <alignment horizontal="center" vertical="center"/>
    </xf>
    <xf numFmtId="1" fontId="7" fillId="3" borderId="1" xfId="12" applyNumberFormat="1" applyFont="1" applyFill="1" applyBorder="1" applyAlignment="1">
      <alignment horizontal="center"/>
    </xf>
    <xf numFmtId="1" fontId="18" fillId="0" borderId="38" xfId="14" applyNumberFormat="1" applyFont="1" applyFill="1" applyBorder="1" applyAlignment="1">
      <alignment horizontal="left" vertical="center"/>
    </xf>
    <xf numFmtId="1" fontId="2" fillId="0" borderId="8" xfId="14" applyNumberFormat="1" applyFont="1" applyFill="1" applyBorder="1" applyAlignment="1">
      <alignment horizontal="center" vertical="center"/>
    </xf>
    <xf numFmtId="1" fontId="18" fillId="0" borderId="11" xfId="14" applyNumberFormat="1" applyFont="1" applyFill="1" applyBorder="1" applyAlignment="1">
      <alignment horizontal="left" vertical="center"/>
    </xf>
    <xf numFmtId="1" fontId="2" fillId="0" borderId="44" xfId="14" applyNumberFormat="1" applyFont="1" applyFill="1" applyBorder="1" applyAlignment="1">
      <alignment horizontal="center" vertical="center"/>
    </xf>
    <xf numFmtId="1" fontId="18" fillId="0" borderId="10" xfId="14" applyNumberFormat="1" applyFont="1" applyFill="1" applyBorder="1" applyAlignment="1">
      <alignment horizontal="left" vertical="center"/>
    </xf>
    <xf numFmtId="1" fontId="2" fillId="0" borderId="11" xfId="14" applyNumberFormat="1" applyFont="1" applyFill="1" applyBorder="1" applyAlignment="1">
      <alignment horizontal="center" vertical="center"/>
    </xf>
    <xf numFmtId="1" fontId="2" fillId="0" borderId="37" xfId="14" applyNumberFormat="1" applyFont="1" applyFill="1" applyBorder="1" applyAlignment="1">
      <alignment horizontal="center" vertical="center"/>
    </xf>
    <xf numFmtId="1" fontId="2" fillId="0" borderId="10" xfId="14" applyNumberFormat="1" applyFont="1" applyFill="1" applyBorder="1" applyAlignment="1">
      <alignment horizontal="center" vertical="center"/>
    </xf>
    <xf numFmtId="1" fontId="2" fillId="0" borderId="29" xfId="14" applyNumberFormat="1" applyFont="1" applyFill="1" applyBorder="1" applyAlignment="1">
      <alignment horizontal="center" vertical="center"/>
    </xf>
    <xf numFmtId="1" fontId="2" fillId="0" borderId="22" xfId="14" applyNumberFormat="1" applyFont="1" applyFill="1" applyBorder="1" applyAlignment="1">
      <alignment horizontal="center" vertical="center"/>
    </xf>
    <xf numFmtId="1" fontId="2" fillId="0" borderId="28" xfId="14" applyNumberFormat="1" applyFont="1" applyFill="1" applyBorder="1" applyAlignment="1">
      <alignment horizontal="center" vertical="center"/>
    </xf>
    <xf numFmtId="1" fontId="2" fillId="3" borderId="68" xfId="14" applyNumberFormat="1" applyFont="1" applyFill="1" applyBorder="1" applyAlignment="1">
      <alignment horizontal="center" vertical="center"/>
    </xf>
    <xf numFmtId="1" fontId="2" fillId="3" borderId="46" xfId="14" applyNumberFormat="1" applyFont="1" applyFill="1" applyBorder="1" applyAlignment="1">
      <alignment horizontal="center" vertical="center"/>
    </xf>
    <xf numFmtId="1" fontId="2" fillId="3" borderId="1" xfId="6" applyNumberFormat="1" applyFont="1" applyFill="1" applyBorder="1" applyAlignment="1">
      <alignment horizontal="center" vertical="center"/>
    </xf>
    <xf numFmtId="1" fontId="2" fillId="3" borderId="1" xfId="6" applyNumberFormat="1" applyFont="1" applyFill="1" applyBorder="1" applyAlignment="1" applyProtection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3" borderId="10" xfId="6" applyFont="1" applyFill="1" applyBorder="1" applyAlignment="1">
      <alignment vertical="center"/>
    </xf>
    <xf numFmtId="0" fontId="7" fillId="3" borderId="1" xfId="12" applyNumberFormat="1" applyFont="1" applyFill="1" applyBorder="1" applyAlignment="1">
      <alignment horizontal="left"/>
    </xf>
    <xf numFmtId="0" fontId="7" fillId="3" borderId="1" xfId="12" applyNumberFormat="1" applyFont="1" applyFill="1" applyBorder="1" applyAlignment="1">
      <alignment horizontal="left" wrapText="1"/>
    </xf>
    <xf numFmtId="0" fontId="1" fillId="3" borderId="1" xfId="12" applyNumberFormat="1" applyFont="1" applyFill="1" applyBorder="1" applyAlignment="1">
      <alignment horizontal="left" wrapText="1"/>
    </xf>
    <xf numFmtId="0" fontId="7" fillId="3" borderId="1" xfId="6" applyFont="1" applyFill="1" applyBorder="1" applyAlignment="1">
      <alignment horizontal="right" vertical="center"/>
    </xf>
    <xf numFmtId="0" fontId="2" fillId="3" borderId="10" xfId="6" applyFont="1" applyFill="1" applyBorder="1" applyAlignment="1">
      <alignment horizontal="left" vertical="center"/>
    </xf>
    <xf numFmtId="0" fontId="2" fillId="3" borderId="10" xfId="5" applyFont="1" applyFill="1" applyBorder="1" applyAlignment="1">
      <alignment vertical="center"/>
    </xf>
    <xf numFmtId="0" fontId="7" fillId="3" borderId="1" xfId="5" applyFont="1" applyFill="1" applyBorder="1" applyAlignment="1">
      <alignment horizontal="right" vertical="center"/>
    </xf>
    <xf numFmtId="0" fontId="1" fillId="3" borderId="1" xfId="5" applyFont="1" applyFill="1" applyBorder="1" applyAlignment="1">
      <alignment horizontal="right" vertical="center"/>
    </xf>
    <xf numFmtId="0" fontId="2" fillId="3" borderId="10" xfId="5" applyFont="1" applyFill="1" applyBorder="1" applyAlignment="1">
      <alignment horizontal="left" vertical="center"/>
    </xf>
    <xf numFmtId="0" fontId="2" fillId="3" borderId="10" xfId="5" applyFont="1" applyFill="1" applyBorder="1" applyAlignment="1">
      <alignment horizontal="left" vertical="center" wrapText="1"/>
    </xf>
    <xf numFmtId="0" fontId="7" fillId="3" borderId="0" xfId="6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9" xfId="20" applyFont="1" applyFill="1" applyBorder="1" applyAlignment="1">
      <alignment horizontal="right" vertical="center"/>
    </xf>
    <xf numFmtId="0" fontId="2" fillId="3" borderId="9" xfId="20" applyFont="1" applyFill="1" applyBorder="1" applyAlignment="1">
      <alignment vertical="center"/>
    </xf>
    <xf numFmtId="0" fontId="2" fillId="3" borderId="9" xfId="20" applyFont="1" applyFill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8" fillId="0" borderId="2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left" vertical="center"/>
    </xf>
    <xf numFmtId="3" fontId="8" fillId="3" borderId="6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3" fontId="8" fillId="3" borderId="46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8" fillId="0" borderId="1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1" fillId="3" borderId="0" xfId="10" applyFont="1" applyFill="1"/>
    <xf numFmtId="0" fontId="7" fillId="3" borderId="0" xfId="10" applyFont="1" applyFill="1" applyBorder="1" applyAlignment="1">
      <alignment horizontal="center" vertical="center"/>
    </xf>
    <xf numFmtId="1" fontId="19" fillId="3" borderId="38" xfId="5" applyNumberFormat="1" applyFont="1" applyFill="1" applyBorder="1" applyAlignment="1">
      <alignment horizontal="center" vertical="center"/>
    </xf>
    <xf numFmtId="1" fontId="34" fillId="3" borderId="11" xfId="0" applyNumberFormat="1" applyFont="1" applyFill="1" applyBorder="1" applyAlignment="1">
      <alignment horizontal="center" vertical="center"/>
    </xf>
    <xf numFmtId="1" fontId="34" fillId="3" borderId="38" xfId="5" applyNumberFormat="1" applyFont="1" applyFill="1" applyBorder="1" applyAlignment="1">
      <alignment horizontal="center" vertical="center"/>
    </xf>
    <xf numFmtId="1" fontId="34" fillId="3" borderId="11" xfId="5" applyNumberFormat="1" applyFont="1" applyFill="1" applyBorder="1" applyAlignment="1">
      <alignment horizontal="center" vertical="center"/>
    </xf>
    <xf numFmtId="1" fontId="34" fillId="3" borderId="1" xfId="5" applyNumberFormat="1" applyFont="1" applyFill="1" applyBorder="1" applyAlignment="1">
      <alignment horizontal="center" vertical="center"/>
    </xf>
    <xf numFmtId="1" fontId="34" fillId="3" borderId="67" xfId="5" applyNumberFormat="1" applyFont="1" applyFill="1" applyBorder="1" applyAlignment="1">
      <alignment horizontal="center" vertical="center"/>
    </xf>
    <xf numFmtId="1" fontId="41" fillId="7" borderId="22" xfId="14" applyNumberFormat="1" applyFont="1" applyFill="1" applyBorder="1" applyAlignment="1">
      <alignment horizontal="center" vertical="center"/>
    </xf>
    <xf numFmtId="0" fontId="7" fillId="7" borderId="1" xfId="12" applyNumberFormat="1" applyFont="1" applyFill="1" applyBorder="1" applyAlignment="1">
      <alignment horizontal="left" vertical="center"/>
    </xf>
    <xf numFmtId="0" fontId="8" fillId="7" borderId="10" xfId="12" applyNumberFormat="1" applyFont="1" applyFill="1" applyBorder="1" applyAlignment="1">
      <alignment horizontal="left" vertical="center"/>
    </xf>
    <xf numFmtId="0" fontId="8" fillId="7" borderId="8" xfId="12" applyNumberFormat="1" applyFont="1" applyFill="1" applyBorder="1" applyAlignment="1">
      <alignment horizontal="left" vertical="center"/>
    </xf>
    <xf numFmtId="0" fontId="42" fillId="7" borderId="1" xfId="12" applyNumberFormat="1" applyFont="1" applyFill="1" applyBorder="1" applyAlignment="1">
      <alignment horizontal="center" vertical="center"/>
    </xf>
    <xf numFmtId="1" fontId="39" fillId="3" borderId="1" xfId="5" applyNumberFormat="1" applyFont="1" applyFill="1" applyBorder="1" applyAlignment="1">
      <alignment horizontal="center" vertical="center"/>
    </xf>
    <xf numFmtId="1" fontId="43" fillId="7" borderId="11" xfId="6" applyNumberFormat="1" applyFont="1" applyFill="1" applyBorder="1" applyAlignment="1">
      <alignment horizontal="center" vertical="center"/>
    </xf>
    <xf numFmtId="0" fontId="2" fillId="7" borderId="10" xfId="12" applyNumberFormat="1" applyFont="1" applyFill="1" applyBorder="1" applyAlignment="1">
      <alignment horizontal="left" vertical="center"/>
    </xf>
    <xf numFmtId="0" fontId="2" fillId="7" borderId="8" xfId="12" applyFont="1" applyFill="1" applyBorder="1" applyAlignment="1"/>
    <xf numFmtId="1" fontId="43" fillId="7" borderId="27" xfId="5" applyNumberFormat="1" applyFont="1" applyFill="1" applyBorder="1" applyAlignment="1">
      <alignment horizontal="center" vertical="center"/>
    </xf>
    <xf numFmtId="1" fontId="43" fillId="7" borderId="11" xfId="8" applyNumberFormat="1" applyFont="1" applyFill="1" applyBorder="1" applyAlignment="1">
      <alignment horizontal="center" vertical="center"/>
    </xf>
    <xf numFmtId="1" fontId="43" fillId="7" borderId="1" xfId="5" applyNumberFormat="1" applyFont="1" applyFill="1" applyBorder="1" applyAlignment="1">
      <alignment horizontal="center" vertical="center"/>
    </xf>
    <xf numFmtId="1" fontId="43" fillId="7" borderId="29" xfId="5" applyNumberFormat="1" applyFont="1" applyFill="1" applyBorder="1" applyAlignment="1">
      <alignment horizontal="center" vertical="center"/>
    </xf>
    <xf numFmtId="1" fontId="43" fillId="7" borderId="27" xfId="8" applyNumberFormat="1" applyFont="1" applyFill="1" applyBorder="1" applyAlignment="1">
      <alignment horizontal="center" vertical="center"/>
    </xf>
    <xf numFmtId="0" fontId="44" fillId="7" borderId="0" xfId="10" applyFont="1" applyFill="1" applyAlignment="1">
      <alignment vertical="center"/>
    </xf>
    <xf numFmtId="0" fontId="45" fillId="7" borderId="0" xfId="10" applyFont="1" applyFill="1" applyAlignment="1">
      <alignment horizontal="center" vertical="center"/>
    </xf>
    <xf numFmtId="1" fontId="43" fillId="7" borderId="1" xfId="0" applyNumberFormat="1" applyFont="1" applyFill="1" applyBorder="1" applyAlignment="1">
      <alignment horizontal="center" vertical="center"/>
    </xf>
    <xf numFmtId="1" fontId="43" fillId="7" borderId="1" xfId="9" applyNumberFormat="1" applyFont="1" applyFill="1" applyBorder="1" applyAlignment="1">
      <alignment horizontal="center" vertical="center"/>
    </xf>
    <xf numFmtId="1" fontId="43" fillId="7" borderId="8" xfId="9" applyNumberFormat="1" applyFont="1" applyFill="1" applyBorder="1" applyAlignment="1">
      <alignment horizontal="center" vertical="center"/>
    </xf>
    <xf numFmtId="3" fontId="43" fillId="7" borderId="1" xfId="9" applyNumberFormat="1" applyFont="1" applyFill="1" applyBorder="1" applyAlignment="1">
      <alignment horizontal="center" vertical="center"/>
    </xf>
    <xf numFmtId="3" fontId="44" fillId="7" borderId="29" xfId="0" applyNumberFormat="1" applyFont="1" applyFill="1" applyBorder="1" applyAlignment="1">
      <alignment horizontal="center" vertical="center"/>
    </xf>
    <xf numFmtId="3" fontId="44" fillId="7" borderId="11" xfId="0" applyNumberFormat="1" applyFont="1" applyFill="1" applyBorder="1" applyAlignment="1">
      <alignment horizontal="center" vertical="center"/>
    </xf>
    <xf numFmtId="3" fontId="44" fillId="7" borderId="1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19" fillId="3" borderId="29" xfId="9" applyNumberFormat="1" applyFont="1" applyFill="1" applyBorder="1" applyAlignment="1">
      <alignment horizontal="center" vertical="center"/>
    </xf>
    <xf numFmtId="1" fontId="19" fillId="3" borderId="8" xfId="9" applyNumberFormat="1" applyFont="1" applyFill="1" applyBorder="1" applyAlignment="1">
      <alignment horizontal="center" vertical="center"/>
    </xf>
    <xf numFmtId="3" fontId="19" fillId="3" borderId="1" xfId="9" applyNumberFormat="1" applyFont="1" applyFill="1" applyBorder="1" applyAlignment="1">
      <alignment horizontal="center" vertical="center"/>
    </xf>
    <xf numFmtId="3" fontId="1" fillId="3" borderId="29" xfId="0" applyNumberFormat="1" applyFont="1" applyFill="1" applyBorder="1" applyAlignment="1">
      <alignment horizontal="center" vertical="center"/>
    </xf>
    <xf numFmtId="1" fontId="1" fillId="3" borderId="1" xfId="12" applyNumberFormat="1" applyFont="1" applyFill="1" applyBorder="1" applyAlignment="1">
      <alignment horizontal="center"/>
    </xf>
    <xf numFmtId="1" fontId="39" fillId="3" borderId="1" xfId="5" applyNumberFormat="1" applyFont="1" applyFill="1" applyBorder="1" applyAlignment="1">
      <alignment horizontal="center" vertical="center"/>
    </xf>
    <xf numFmtId="1" fontId="2" fillId="3" borderId="28" xfId="5" applyNumberFormat="1" applyFont="1" applyFill="1" applyBorder="1" applyAlignment="1">
      <alignment horizontal="center" vertical="center"/>
    </xf>
    <xf numFmtId="1" fontId="2" fillId="3" borderId="67" xfId="5" applyNumberFormat="1" applyFont="1" applyFill="1" applyBorder="1" applyAlignment="1">
      <alignment horizontal="center" vertical="center"/>
    </xf>
    <xf numFmtId="1" fontId="2" fillId="3" borderId="67" xfId="9" applyNumberFormat="1" applyFont="1" applyFill="1" applyBorder="1" applyAlignment="1">
      <alignment horizontal="center" vertical="center"/>
    </xf>
    <xf numFmtId="1" fontId="2" fillId="3" borderId="37" xfId="0" applyNumberFormat="1" applyFont="1" applyFill="1" applyBorder="1" applyAlignment="1">
      <alignment horizontal="center" vertical="center"/>
    </xf>
    <xf numFmtId="1" fontId="46" fillId="3" borderId="67" xfId="6" applyNumberFormat="1" applyFont="1" applyFill="1" applyBorder="1" applyAlignment="1">
      <alignment horizontal="center" vertical="center"/>
    </xf>
    <xf numFmtId="1" fontId="46" fillId="3" borderId="67" xfId="9" applyNumberFormat="1" applyFont="1" applyFill="1" applyBorder="1" applyAlignment="1">
      <alignment horizontal="center" vertical="center"/>
    </xf>
    <xf numFmtId="1" fontId="1" fillId="3" borderId="9" xfId="14" applyNumberFormat="1" applyFont="1" applyFill="1" applyBorder="1" applyAlignment="1">
      <alignment horizontal="center" vertical="center"/>
    </xf>
    <xf numFmtId="1" fontId="2" fillId="3" borderId="44" xfId="14" applyNumberFormat="1" applyFont="1" applyFill="1" applyBorder="1" applyAlignment="1">
      <alignment horizontal="center" vertical="center"/>
    </xf>
    <xf numFmtId="0" fontId="1" fillId="0" borderId="48" xfId="18" applyBorder="1"/>
    <xf numFmtId="1" fontId="1" fillId="3" borderId="68" xfId="14" applyNumberFormat="1" applyFont="1" applyFill="1" applyBorder="1" applyAlignment="1">
      <alignment horizontal="center" vertical="center"/>
    </xf>
    <xf numFmtId="1" fontId="21" fillId="0" borderId="70" xfId="15" applyNumberFormat="1" applyFont="1" applyBorder="1" applyAlignment="1">
      <alignment horizontal="center"/>
    </xf>
    <xf numFmtId="1" fontId="21" fillId="0" borderId="14" xfId="15" applyNumberFormat="1" applyFont="1" applyBorder="1" applyAlignment="1">
      <alignment horizontal="center"/>
    </xf>
    <xf numFmtId="1" fontId="2" fillId="0" borderId="71" xfId="15" applyNumberFormat="1" applyFont="1" applyFill="1" applyBorder="1" applyAlignment="1">
      <alignment horizontal="center" vertical="center"/>
    </xf>
    <xf numFmtId="1" fontId="2" fillId="0" borderId="71" xfId="15" applyNumberFormat="1" applyFont="1" applyFill="1" applyBorder="1" applyAlignment="1">
      <alignment vertical="center"/>
    </xf>
    <xf numFmtId="1" fontId="2" fillId="0" borderId="71" xfId="15" applyNumberFormat="1" applyFont="1" applyFill="1" applyBorder="1" applyAlignment="1">
      <alignment horizontal="left" vertical="center"/>
    </xf>
    <xf numFmtId="1" fontId="2" fillId="0" borderId="72" xfId="15" applyNumberFormat="1" applyFont="1" applyFill="1" applyBorder="1" applyAlignment="1">
      <alignment horizontal="left" vertical="center"/>
    </xf>
    <xf numFmtId="1" fontId="2" fillId="0" borderId="73" xfId="15" applyNumberFormat="1" applyFont="1" applyFill="1" applyBorder="1" applyAlignment="1">
      <alignment horizontal="left" vertical="center"/>
    </xf>
    <xf numFmtId="0" fontId="7" fillId="0" borderId="34" xfId="15" applyNumberFormat="1" applyFont="1" applyBorder="1" applyAlignment="1">
      <alignment horizontal="center"/>
    </xf>
    <xf numFmtId="0" fontId="7" fillId="0" borderId="17" xfId="15" applyNumberFormat="1" applyFont="1" applyBorder="1" applyAlignment="1">
      <alignment horizontal="center"/>
    </xf>
    <xf numFmtId="1" fontId="21" fillId="0" borderId="7" xfId="15" applyNumberFormat="1" applyFont="1" applyBorder="1" applyAlignment="1">
      <alignment horizontal="center"/>
    </xf>
    <xf numFmtId="1" fontId="21" fillId="0" borderId="18" xfId="15" applyNumberFormat="1" applyFont="1" applyBorder="1" applyAlignment="1">
      <alignment horizontal="center"/>
    </xf>
    <xf numFmtId="1" fontId="7" fillId="0" borderId="12" xfId="15" applyNumberFormat="1" applyFont="1" applyBorder="1" applyAlignment="1">
      <alignment horizontal="center" vertical="center"/>
    </xf>
    <xf numFmtId="1" fontId="2" fillId="0" borderId="11" xfId="15" applyNumberFormat="1" applyFont="1" applyFill="1" applyBorder="1" applyAlignment="1">
      <alignment horizontal="center" vertical="center"/>
    </xf>
    <xf numFmtId="1" fontId="39" fillId="3" borderId="1" xfId="5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9" fillId="3" borderId="1" xfId="5" applyNumberFormat="1" applyFont="1" applyFill="1" applyBorder="1" applyAlignment="1">
      <alignment horizontal="center" vertical="center"/>
    </xf>
    <xf numFmtId="0" fontId="2" fillId="2" borderId="38" xfId="5" applyFont="1" applyFill="1" applyBorder="1" applyAlignment="1">
      <alignment horizontal="center" vertical="center"/>
    </xf>
    <xf numFmtId="0" fontId="2" fillId="3" borderId="38" xfId="16" applyNumberFormat="1" applyFont="1" applyFill="1" applyBorder="1" applyAlignment="1">
      <alignment horizontal="right" vertical="center" wrapText="1"/>
    </xf>
    <xf numFmtId="0" fontId="2" fillId="7" borderId="38" xfId="12" applyNumberFormat="1" applyFont="1" applyFill="1" applyBorder="1" applyAlignment="1">
      <alignment horizontal="left" vertical="center"/>
    </xf>
    <xf numFmtId="0" fontId="2" fillId="3" borderId="1" xfId="5" applyFont="1" applyFill="1" applyBorder="1" applyAlignment="1">
      <alignment vertical="center"/>
    </xf>
    <xf numFmtId="0" fontId="0" fillId="0" borderId="35" xfId="0" applyBorder="1" applyAlignment="1">
      <alignment horizontal="center"/>
    </xf>
    <xf numFmtId="1" fontId="2" fillId="0" borderId="27" xfId="6" applyNumberFormat="1" applyFont="1" applyFill="1" applyBorder="1" applyAlignment="1">
      <alignment horizontal="center" vertical="center"/>
    </xf>
    <xf numFmtId="1" fontId="2" fillId="0" borderId="27" xfId="6" applyNumberFormat="1" applyFont="1" applyFill="1" applyBorder="1" applyAlignment="1" applyProtection="1">
      <alignment horizontal="center" vertical="center"/>
    </xf>
    <xf numFmtId="1" fontId="2" fillId="0" borderId="11" xfId="6" applyNumberFormat="1" applyFont="1" applyFill="1" applyBorder="1" applyAlignment="1">
      <alignment horizontal="center" vertical="center"/>
    </xf>
    <xf numFmtId="1" fontId="2" fillId="0" borderId="11" xfId="5" applyNumberFormat="1" applyFont="1" applyFill="1" applyBorder="1" applyAlignment="1">
      <alignment horizontal="center" vertical="center"/>
    </xf>
    <xf numFmtId="1" fontId="2" fillId="0" borderId="29" xfId="5" applyNumberFormat="1" applyFont="1" applyFill="1" applyBorder="1" applyAlignment="1">
      <alignment horizontal="center" vertical="center"/>
    </xf>
    <xf numFmtId="1" fontId="2" fillId="0" borderId="29" xfId="6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27" xfId="5" applyNumberFormat="1" applyFont="1" applyFill="1" applyBorder="1" applyAlignment="1">
      <alignment horizontal="center" vertical="center"/>
    </xf>
    <xf numFmtId="1" fontId="39" fillId="0" borderId="1" xfId="5" applyNumberFormat="1" applyFont="1" applyFill="1" applyBorder="1" applyAlignment="1">
      <alignment horizontal="center" vertical="center"/>
    </xf>
    <xf numFmtId="1" fontId="39" fillId="0" borderId="1" xfId="0" applyNumberFormat="1" applyFont="1" applyFill="1" applyBorder="1" applyAlignment="1">
      <alignment horizontal="center" vertical="center"/>
    </xf>
    <xf numFmtId="1" fontId="39" fillId="0" borderId="27" xfId="5" applyNumberFormat="1" applyFont="1" applyFill="1" applyBorder="1" applyAlignment="1">
      <alignment horizontal="center" vertical="center"/>
    </xf>
    <xf numFmtId="1" fontId="39" fillId="0" borderId="11" xfId="5" applyNumberFormat="1" applyFont="1" applyFill="1" applyBorder="1" applyAlignment="1">
      <alignment horizontal="center" vertical="center"/>
    </xf>
    <xf numFmtId="1" fontId="39" fillId="0" borderId="11" xfId="8" applyNumberFormat="1" applyFont="1" applyFill="1" applyBorder="1" applyAlignment="1">
      <alignment horizontal="center" vertical="center"/>
    </xf>
    <xf numFmtId="1" fontId="39" fillId="0" borderId="29" xfId="5" applyNumberFormat="1" applyFont="1" applyFill="1" applyBorder="1" applyAlignment="1">
      <alignment horizontal="center" vertical="center"/>
    </xf>
    <xf numFmtId="1" fontId="39" fillId="0" borderId="29" xfId="0" applyNumberFormat="1" applyFont="1" applyFill="1" applyBorder="1" applyAlignment="1">
      <alignment horizontal="center" vertical="center"/>
    </xf>
    <xf numFmtId="1" fontId="39" fillId="0" borderId="27" xfId="0" applyNumberFormat="1" applyFont="1" applyFill="1" applyBorder="1" applyAlignment="1">
      <alignment horizontal="center" vertical="center"/>
    </xf>
    <xf numFmtId="0" fontId="2" fillId="3" borderId="10" xfId="6" applyFont="1" applyFill="1" applyBorder="1" applyAlignment="1">
      <alignment vertical="center" wrapText="1"/>
    </xf>
    <xf numFmtId="1" fontId="7" fillId="0" borderId="1" xfId="12" applyNumberFormat="1" applyFont="1" applyFill="1" applyBorder="1" applyAlignment="1">
      <alignment horizontal="center"/>
    </xf>
    <xf numFmtId="3" fontId="7" fillId="0" borderId="1" xfId="12" applyNumberFormat="1" applyFont="1" applyFill="1" applyBorder="1" applyAlignment="1">
      <alignment horizontal="center"/>
    </xf>
    <xf numFmtId="1" fontId="7" fillId="0" borderId="1" xfId="12" applyNumberFormat="1" applyFont="1" applyFill="1" applyBorder="1" applyAlignment="1">
      <alignment horizontal="center" vertical="center"/>
    </xf>
    <xf numFmtId="3" fontId="7" fillId="0" borderId="1" xfId="12" applyNumberFormat="1" applyFont="1" applyFill="1" applyBorder="1" applyAlignment="1">
      <alignment horizontal="center" vertical="center"/>
    </xf>
    <xf numFmtId="1" fontId="2" fillId="0" borderId="63" xfId="14" applyNumberFormat="1" applyFont="1" applyFill="1" applyBorder="1" applyAlignment="1">
      <alignment horizontal="center" vertical="center"/>
    </xf>
    <xf numFmtId="1" fontId="2" fillId="0" borderId="38" xfId="14" applyNumberFormat="1" applyFont="1" applyFill="1" applyBorder="1" applyAlignment="1">
      <alignment horizontal="center" vertical="center"/>
    </xf>
    <xf numFmtId="1" fontId="2" fillId="0" borderId="42" xfId="14" applyNumberFormat="1" applyFont="1" applyFill="1" applyBorder="1" applyAlignment="1">
      <alignment horizontal="center" vertical="center"/>
    </xf>
    <xf numFmtId="0" fontId="2" fillId="5" borderId="1" xfId="8" applyFont="1" applyFill="1" applyBorder="1" applyAlignment="1">
      <alignment horizontal="center" vertical="center" wrapText="1"/>
    </xf>
    <xf numFmtId="1" fontId="39" fillId="0" borderId="1" xfId="5" applyNumberFormat="1" applyFont="1" applyFill="1" applyBorder="1" applyAlignment="1">
      <alignment horizontal="center" vertical="center"/>
    </xf>
    <xf numFmtId="0" fontId="2" fillId="5" borderId="1" xfId="1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" fontId="7" fillId="3" borderId="1" xfId="12" applyNumberFormat="1" applyFont="1" applyFill="1" applyBorder="1" applyAlignment="1">
      <alignment horizontal="center"/>
    </xf>
    <xf numFmtId="1" fontId="7" fillId="3" borderId="1" xfId="12" applyNumberFormat="1" applyFont="1" applyFill="1" applyBorder="1" applyAlignment="1">
      <alignment horizontal="center" vertical="center"/>
    </xf>
    <xf numFmtId="3" fontId="7" fillId="3" borderId="1" xfId="12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3" fontId="7" fillId="3" borderId="1" xfId="12" applyNumberFormat="1" applyFont="1" applyFill="1" applyBorder="1" applyAlignment="1">
      <alignment horizontal="center" vertical="center"/>
    </xf>
    <xf numFmtId="1" fontId="19" fillId="0" borderId="29" xfId="5" applyNumberFormat="1" applyFont="1" applyFill="1" applyBorder="1" applyAlignment="1">
      <alignment horizontal="center" vertical="center"/>
    </xf>
    <xf numFmtId="1" fontId="19" fillId="0" borderId="11" xfId="5" applyNumberFormat="1" applyFont="1" applyFill="1" applyBorder="1" applyAlignment="1">
      <alignment horizontal="center" vertical="center"/>
    </xf>
    <xf numFmtId="0" fontId="7" fillId="0" borderId="34" xfId="14" applyNumberFormat="1" applyFont="1" applyBorder="1" applyAlignment="1">
      <alignment horizontal="center"/>
    </xf>
    <xf numFmtId="1" fontId="2" fillId="0" borderId="49" xfId="14" applyNumberFormat="1" applyFont="1" applyFill="1" applyBorder="1" applyAlignment="1">
      <alignment horizontal="center" vertical="center"/>
    </xf>
    <xf numFmtId="0" fontId="8" fillId="0" borderId="74" xfId="21" applyNumberFormat="1" applyFont="1" applyBorder="1" applyAlignment="1">
      <alignment horizontal="left" vertical="center"/>
    </xf>
    <xf numFmtId="1" fontId="2" fillId="2" borderId="1" xfId="21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/>
    </xf>
    <xf numFmtId="1" fontId="42" fillId="7" borderId="1" xfId="12" applyNumberFormat="1" applyFont="1" applyFill="1" applyBorder="1" applyAlignment="1">
      <alignment horizontal="center"/>
    </xf>
    <xf numFmtId="0" fontId="7" fillId="3" borderId="10" xfId="12" applyNumberFormat="1" applyFont="1" applyFill="1" applyBorder="1" applyAlignment="1">
      <alignment horizontal="left"/>
    </xf>
    <xf numFmtId="0" fontId="1" fillId="3" borderId="10" xfId="12" applyNumberFormat="1" applyFont="1" applyFill="1" applyBorder="1" applyAlignment="1">
      <alignment horizontal="left"/>
    </xf>
    <xf numFmtId="1" fontId="42" fillId="7" borderId="1" xfId="14" applyNumberFormat="1" applyFont="1" applyFill="1" applyBorder="1" applyAlignment="1">
      <alignment horizontal="center" vertical="center"/>
    </xf>
    <xf numFmtId="3" fontId="42" fillId="7" borderId="1" xfId="12" applyNumberFormat="1" applyFont="1" applyFill="1" applyBorder="1" applyAlignment="1">
      <alignment horizontal="center" vertical="center"/>
    </xf>
    <xf numFmtId="0" fontId="7" fillId="2" borderId="10" xfId="22" applyNumberFormat="1" applyFont="1" applyFill="1" applyBorder="1" applyAlignment="1"/>
    <xf numFmtId="0" fontId="1" fillId="0" borderId="38" xfId="0" applyFont="1" applyFill="1" applyBorder="1" applyAlignment="1">
      <alignment horizontal="right" vertical="center" wrapText="1"/>
    </xf>
    <xf numFmtId="0" fontId="7" fillId="2" borderId="1" xfId="2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2" borderId="1" xfId="23" applyNumberFormat="1" applyFont="1" applyFill="1" applyBorder="1" applyAlignment="1">
      <alignment horizontal="center" vertical="center"/>
    </xf>
    <xf numFmtId="0" fontId="47" fillId="2" borderId="1" xfId="23" applyNumberFormat="1" applyFont="1" applyFill="1" applyBorder="1" applyAlignment="1">
      <alignment horizontal="center"/>
    </xf>
    <xf numFmtId="0" fontId="2" fillId="2" borderId="68" xfId="11" applyFont="1" applyFill="1" applyBorder="1" applyAlignment="1">
      <alignment vertical="center" wrapText="1"/>
    </xf>
    <xf numFmtId="0" fontId="7" fillId="0" borderId="38" xfId="6" applyFont="1" applyFill="1" applyBorder="1" applyAlignment="1">
      <alignment horizontal="right" vertical="center"/>
    </xf>
    <xf numFmtId="0" fontId="7" fillId="0" borderId="38" xfId="11" applyFont="1" applyFill="1" applyBorder="1" applyAlignment="1">
      <alignment horizontal="right" vertical="center" wrapText="1"/>
    </xf>
    <xf numFmtId="0" fontId="2" fillId="2" borderId="38" xfId="6" applyFont="1" applyFill="1" applyBorder="1" applyAlignment="1">
      <alignment vertical="center"/>
    </xf>
    <xf numFmtId="0" fontId="2" fillId="0" borderId="38" xfId="6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right" vertical="center" wrapText="1"/>
    </xf>
    <xf numFmtId="0" fontId="1" fillId="2" borderId="38" xfId="0" applyFont="1" applyFill="1" applyBorder="1" applyAlignment="1">
      <alignment horizontal="right" vertical="center" wrapText="1"/>
    </xf>
    <xf numFmtId="0" fontId="2" fillId="2" borderId="68" xfId="0" applyFont="1" applyFill="1" applyBorder="1" applyAlignment="1">
      <alignment horizontal="left" vertical="center" wrapText="1"/>
    </xf>
    <xf numFmtId="0" fontId="1" fillId="2" borderId="68" xfId="0" applyFont="1" applyFill="1" applyBorder="1" applyAlignment="1">
      <alignment horizontal="right" vertical="center" wrapText="1"/>
    </xf>
    <xf numFmtId="0" fontId="2" fillId="2" borderId="68" xfId="0" applyFont="1" applyFill="1" applyBorder="1" applyAlignment="1">
      <alignment horizontal="left" vertical="center"/>
    </xf>
    <xf numFmtId="0" fontId="7" fillId="0" borderId="67" xfId="0" applyFont="1" applyFill="1" applyBorder="1" applyAlignment="1">
      <alignment horizontal="right" vertical="center" wrapText="1"/>
    </xf>
    <xf numFmtId="0" fontId="2" fillId="3" borderId="29" xfId="5" applyFont="1" applyFill="1" applyBorder="1" applyAlignment="1">
      <alignment vertical="center"/>
    </xf>
    <xf numFmtId="0" fontId="7" fillId="2" borderId="41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3" fontId="2" fillId="3" borderId="27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 wrapText="1"/>
    </xf>
    <xf numFmtId="0" fontId="1" fillId="2" borderId="1" xfId="24" applyNumberFormat="1" applyFont="1" applyFill="1" applyBorder="1" applyAlignment="1">
      <alignment horizontal="center" vertical="center"/>
    </xf>
    <xf numFmtId="0" fontId="24" fillId="2" borderId="29" xfId="24" applyNumberFormat="1" applyFont="1" applyFill="1" applyBorder="1" applyAlignment="1">
      <alignment horizontal="right" wrapText="1"/>
    </xf>
    <xf numFmtId="0" fontId="7" fillId="0" borderId="29" xfId="0" applyFont="1" applyFill="1" applyBorder="1" applyAlignment="1">
      <alignment horizontal="right" vertical="center" wrapText="1"/>
    </xf>
    <xf numFmtId="0" fontId="7" fillId="2" borderId="1" xfId="24" applyNumberFormat="1" applyFont="1" applyFill="1" applyBorder="1" applyAlignment="1">
      <alignment horizontal="center" vertical="center"/>
    </xf>
    <xf numFmtId="0" fontId="7" fillId="2" borderId="10" xfId="22" applyNumberFormat="1" applyFont="1" applyFill="1" applyBorder="1" applyAlignment="1">
      <alignment vertical="center"/>
    </xf>
    <xf numFmtId="0" fontId="1" fillId="0" borderId="0" xfId="18" applyAlignment="1">
      <alignment vertical="center"/>
    </xf>
    <xf numFmtId="1" fontId="2" fillId="0" borderId="29" xfId="15" applyNumberFormat="1" applyFont="1" applyFill="1" applyBorder="1" applyAlignment="1">
      <alignment horizontal="left" vertical="center"/>
    </xf>
    <xf numFmtId="1" fontId="2" fillId="0" borderId="28" xfId="15" applyNumberFormat="1" applyFont="1" applyFill="1" applyBorder="1" applyAlignment="1">
      <alignment horizontal="left" vertical="center"/>
    </xf>
    <xf numFmtId="1" fontId="2" fillId="0" borderId="20" xfId="15" applyNumberFormat="1" applyFont="1" applyFill="1" applyBorder="1" applyAlignment="1">
      <alignment horizontal="center" vertical="center"/>
    </xf>
    <xf numFmtId="1" fontId="2" fillId="0" borderId="68" xfId="15" applyNumberFormat="1" applyFont="1" applyFill="1" applyBorder="1" applyAlignment="1">
      <alignment horizontal="center" vertical="center"/>
    </xf>
    <xf numFmtId="1" fontId="39" fillId="0" borderId="1" xfId="5" applyNumberFormat="1" applyFont="1" applyFill="1" applyBorder="1" applyAlignment="1">
      <alignment horizontal="center" vertical="center"/>
    </xf>
    <xf numFmtId="1" fontId="39" fillId="0" borderId="1" xfId="5" applyNumberFormat="1" applyFont="1" applyFill="1" applyBorder="1" applyAlignment="1">
      <alignment horizontal="center" vertical="center"/>
    </xf>
    <xf numFmtId="0" fontId="2" fillId="0" borderId="10" xfId="6" applyFont="1" applyFill="1" applyBorder="1" applyAlignment="1">
      <alignment horizontal="left" vertical="center"/>
    </xf>
    <xf numFmtId="1" fontId="39" fillId="0" borderId="1" xfId="5" applyNumberFormat="1" applyFont="1" applyFill="1" applyBorder="1" applyAlignment="1">
      <alignment horizontal="center" vertical="center"/>
    </xf>
    <xf numFmtId="1" fontId="2" fillId="0" borderId="38" xfId="5" applyNumberFormat="1" applyFont="1" applyFill="1" applyBorder="1" applyAlignment="1">
      <alignment horizontal="center" vertical="center"/>
    </xf>
    <xf numFmtId="1" fontId="39" fillId="0" borderId="11" xfId="0" applyNumberFormat="1" applyFont="1" applyFill="1" applyBorder="1" applyAlignment="1">
      <alignment horizontal="center" vertical="center"/>
    </xf>
    <xf numFmtId="1" fontId="39" fillId="0" borderId="38" xfId="5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/>
    <xf numFmtId="1" fontId="7" fillId="0" borderId="1" xfId="12" applyNumberFormat="1" applyFont="1" applyFill="1" applyBorder="1" applyAlignment="1"/>
    <xf numFmtId="1" fontId="7" fillId="0" borderId="1" xfId="14" applyNumberFormat="1" applyFont="1" applyFill="1" applyBorder="1" applyAlignment="1">
      <alignment horizontal="center" vertical="center"/>
    </xf>
    <xf numFmtId="1" fontId="39" fillId="0" borderId="1" xfId="5" applyNumberFormat="1" applyFont="1" applyFill="1" applyBorder="1" applyAlignment="1">
      <alignment horizontal="center" vertical="center"/>
    </xf>
    <xf numFmtId="3" fontId="7" fillId="0" borderId="1" xfId="12" applyNumberFormat="1" applyFont="1" applyFill="1" applyBorder="1" applyAlignment="1">
      <alignment horizontal="center" vertical="center"/>
    </xf>
    <xf numFmtId="0" fontId="32" fillId="5" borderId="20" xfId="0" applyFont="1" applyFill="1" applyBorder="1" applyAlignment="1">
      <alignment horizontal="center" vertical="center"/>
    </xf>
    <xf numFmtId="0" fontId="32" fillId="5" borderId="39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7" fillId="3" borderId="0" xfId="16" applyNumberFormat="1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3" borderId="0" xfId="12" applyNumberFormat="1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7" fillId="7" borderId="1" xfId="12" applyNumberFormat="1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 wrapText="1"/>
    </xf>
    <xf numFmtId="0" fontId="37" fillId="0" borderId="63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9" fillId="0" borderId="0" xfId="10" applyFont="1" applyAlignment="1">
      <alignment vertical="center" wrapText="1"/>
    </xf>
    <xf numFmtId="0" fontId="17" fillId="0" borderId="0" xfId="11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6" fillId="0" borderId="0" xfId="1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8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1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3" borderId="0" xfId="16" applyNumberFormat="1" applyFont="1" applyFill="1" applyAlignment="1">
      <alignment horizontal="left" vertical="center" wrapText="1"/>
    </xf>
    <xf numFmtId="0" fontId="2" fillId="0" borderId="0" xfId="0" applyFont="1" applyAlignment="1"/>
    <xf numFmtId="0" fontId="19" fillId="0" borderId="0" xfId="0" applyFont="1" applyAlignment="1"/>
    <xf numFmtId="0" fontId="9" fillId="0" borderId="0" xfId="15" applyNumberFormat="1" applyFont="1" applyAlignment="1">
      <alignment horizontal="left" vertical="center" wrapText="1"/>
    </xf>
    <xf numFmtId="0" fontId="2" fillId="5" borderId="1" xfId="6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39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39" fillId="3" borderId="10" xfId="0" applyNumberFormat="1" applyFont="1" applyFill="1" applyBorder="1" applyAlignment="1">
      <alignment horizontal="center" vertical="center"/>
    </xf>
    <xf numFmtId="1" fontId="39" fillId="3" borderId="38" xfId="0" applyNumberFormat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9" fillId="0" borderId="0" xfId="16" applyNumberFormat="1" applyFont="1" applyAlignment="1">
      <alignment horizontal="left" vertical="center" wrapText="1"/>
    </xf>
    <xf numFmtId="0" fontId="8" fillId="0" borderId="0" xfId="18" applyFont="1" applyAlignment="1">
      <alignment horizontal="center" vertical="center" wrapText="1"/>
    </xf>
    <xf numFmtId="0" fontId="7" fillId="0" borderId="0" xfId="18" applyFont="1" applyAlignment="1">
      <alignment horizontal="center" vertical="center" wrapText="1"/>
    </xf>
    <xf numFmtId="0" fontId="1" fillId="0" borderId="0" xfId="16" applyNumberFormat="1" applyFont="1" applyAlignment="1">
      <alignment horizontal="left" vertical="center"/>
    </xf>
    <xf numFmtId="0" fontId="19" fillId="0" borderId="0" xfId="16" applyNumberFormat="1" applyFont="1" applyAlignment="1">
      <alignment horizontal="left" wrapText="1"/>
    </xf>
    <xf numFmtId="0" fontId="19" fillId="0" borderId="0" xfId="16" applyFont="1" applyAlignment="1">
      <alignment horizontal="left"/>
    </xf>
    <xf numFmtId="1" fontId="31" fillId="0" borderId="20" xfId="14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9" xfId="0" applyBorder="1" applyAlignment="1">
      <alignment horizontal="center"/>
    </xf>
    <xf numFmtId="1" fontId="8" fillId="4" borderId="20" xfId="14" applyNumberFormat="1" applyFont="1" applyFill="1" applyBorder="1" applyAlignment="1">
      <alignment horizontal="center"/>
    </xf>
    <xf numFmtId="1" fontId="1" fillId="0" borderId="20" xfId="14" applyNumberFormat="1" applyFont="1" applyBorder="1" applyAlignment="1">
      <alignment horizontal="center"/>
    </xf>
    <xf numFmtId="1" fontId="31" fillId="0" borderId="20" xfId="14" applyNumberFormat="1" applyFont="1" applyBorder="1" applyAlignment="1">
      <alignment horizontal="center" vertical="center"/>
    </xf>
    <xf numFmtId="1" fontId="31" fillId="0" borderId="39" xfId="14" applyNumberFormat="1" applyFont="1" applyBorder="1" applyAlignment="1">
      <alignment horizontal="center" vertical="center"/>
    </xf>
    <xf numFmtId="1" fontId="31" fillId="0" borderId="49" xfId="14" applyNumberFormat="1" applyFont="1" applyBorder="1" applyAlignment="1">
      <alignment horizontal="center" vertical="center"/>
    </xf>
    <xf numFmtId="0" fontId="8" fillId="4" borderId="20" xfId="14" applyNumberFormat="1" applyFont="1" applyFill="1" applyBorder="1" applyAlignment="1">
      <alignment horizontal="center" vertical="center"/>
    </xf>
    <xf numFmtId="0" fontId="8" fillId="4" borderId="39" xfId="14" applyNumberFormat="1" applyFont="1" applyFill="1" applyBorder="1" applyAlignment="1">
      <alignment horizontal="center" vertical="center"/>
    </xf>
    <xf numFmtId="0" fontId="8" fillId="4" borderId="49" xfId="14" applyNumberFormat="1" applyFont="1" applyFill="1" applyBorder="1" applyAlignment="1">
      <alignment horizontal="center" vertical="center"/>
    </xf>
    <xf numFmtId="0" fontId="1" fillId="0" borderId="20" xfId="14" applyNumberFormat="1" applyFont="1" applyBorder="1" applyAlignment="1">
      <alignment horizontal="center" vertical="center"/>
    </xf>
    <xf numFmtId="0" fontId="1" fillId="0" borderId="39" xfId="14" applyNumberFormat="1" applyFont="1" applyBorder="1" applyAlignment="1">
      <alignment horizontal="center" vertical="center"/>
    </xf>
    <xf numFmtId="0" fontId="1" fillId="0" borderId="49" xfId="14" applyNumberFormat="1" applyFont="1" applyBorder="1" applyAlignment="1">
      <alignment horizontal="center" vertical="center"/>
    </xf>
    <xf numFmtId="0" fontId="1" fillId="0" borderId="0" xfId="15" applyNumberFormat="1" applyFont="1" applyAlignment="1">
      <alignment horizontal="left" wrapText="1"/>
    </xf>
    <xf numFmtId="0" fontId="1" fillId="0" borderId="0" xfId="15" applyNumberFormat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5" borderId="1" xfId="1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" fillId="0" borderId="0" xfId="10" applyFont="1" applyBorder="1" applyAlignment="1">
      <alignment horizontal="left" vertical="center" wrapText="1"/>
    </xf>
    <xf numFmtId="0" fontId="1" fillId="0" borderId="0" xfId="10" applyFont="1" applyBorder="1" applyAlignment="1">
      <alignment horizontal="left" vertical="top" wrapText="1"/>
    </xf>
    <xf numFmtId="0" fontId="3" fillId="0" borderId="0" xfId="1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1" xfId="19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15" applyNumberFormat="1" applyFont="1" applyAlignment="1">
      <alignment horizontal="left" vertical="center"/>
    </xf>
    <xf numFmtId="0" fontId="8" fillId="4" borderId="20" xfId="15" applyNumberFormat="1" applyFont="1" applyFill="1" applyBorder="1" applyAlignment="1">
      <alignment horizontal="center"/>
    </xf>
    <xf numFmtId="0" fontId="8" fillId="4" borderId="21" xfId="15" applyNumberFormat="1" applyFont="1" applyFill="1" applyBorder="1" applyAlignment="1">
      <alignment horizontal="center"/>
    </xf>
    <xf numFmtId="0" fontId="8" fillId="4" borderId="50" xfId="15" applyNumberFormat="1" applyFont="1" applyFill="1" applyBorder="1" applyAlignment="1">
      <alignment horizontal="center"/>
    </xf>
    <xf numFmtId="0" fontId="1" fillId="0" borderId="20" xfId="15" applyNumberFormat="1" applyFont="1" applyBorder="1" applyAlignment="1">
      <alignment horizontal="left"/>
    </xf>
    <xf numFmtId="0" fontId="1" fillId="0" borderId="21" xfId="15" applyNumberFormat="1" applyFont="1" applyBorder="1" applyAlignment="1">
      <alignment horizontal="left"/>
    </xf>
    <xf numFmtId="0" fontId="1" fillId="0" borderId="50" xfId="15" applyNumberFormat="1" applyFont="1" applyBorder="1" applyAlignment="1">
      <alignment horizontal="left"/>
    </xf>
    <xf numFmtId="0" fontId="22" fillId="0" borderId="17" xfId="15" applyNumberFormat="1" applyFont="1" applyFill="1" applyBorder="1" applyAlignment="1">
      <alignment horizontal="center"/>
    </xf>
    <xf numFmtId="0" fontId="22" fillId="0" borderId="16" xfId="15" applyNumberFormat="1" applyFont="1" applyFill="1" applyBorder="1" applyAlignment="1">
      <alignment horizontal="center"/>
    </xf>
    <xf numFmtId="0" fontId="22" fillId="0" borderId="43" xfId="15" applyNumberFormat="1" applyFont="1" applyFill="1" applyBorder="1" applyAlignment="1">
      <alignment horizontal="center"/>
    </xf>
    <xf numFmtId="0" fontId="7" fillId="3" borderId="26" xfId="15" applyNumberFormat="1" applyFont="1" applyFill="1" applyBorder="1" applyAlignment="1">
      <alignment horizontal="left" wrapText="1"/>
    </xf>
    <xf numFmtId="0" fontId="8" fillId="4" borderId="41" xfId="15" applyNumberFormat="1" applyFont="1" applyFill="1" applyBorder="1" applyAlignment="1">
      <alignment horizontal="center"/>
    </xf>
    <xf numFmtId="0" fontId="8" fillId="4" borderId="28" xfId="15" applyNumberFormat="1" applyFont="1" applyFill="1" applyBorder="1" applyAlignment="1">
      <alignment horizontal="center"/>
    </xf>
    <xf numFmtId="0" fontId="8" fillId="4" borderId="52" xfId="15" applyNumberFormat="1" applyFont="1" applyFill="1" applyBorder="1" applyAlignment="1">
      <alignment horizontal="center"/>
    </xf>
    <xf numFmtId="0" fontId="1" fillId="0" borderId="39" xfId="15" applyNumberFormat="1" applyFont="1" applyBorder="1" applyAlignment="1">
      <alignment horizontal="left"/>
    </xf>
    <xf numFmtId="0" fontId="0" fillId="0" borderId="49" xfId="0" applyBorder="1" applyAlignment="1"/>
    <xf numFmtId="0" fontId="8" fillId="4" borderId="39" xfId="15" applyNumberFormat="1" applyFont="1" applyFill="1" applyBorder="1" applyAlignment="1">
      <alignment horizontal="center"/>
    </xf>
    <xf numFmtId="0" fontId="22" fillId="0" borderId="20" xfId="15" applyNumberFormat="1" applyFont="1" applyFill="1" applyBorder="1" applyAlignment="1">
      <alignment horizontal="center"/>
    </xf>
    <xf numFmtId="0" fontId="22" fillId="0" borderId="39" xfId="15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0" fontId="1" fillId="0" borderId="16" xfId="15" applyNumberFormat="1" applyFont="1" applyBorder="1" applyAlignment="1">
      <alignment horizontal="left"/>
    </xf>
    <xf numFmtId="0" fontId="1" fillId="0" borderId="43" xfId="15" applyNumberFormat="1" applyFont="1" applyBorder="1" applyAlignment="1">
      <alignment horizontal="left"/>
    </xf>
    <xf numFmtId="0" fontId="16" fillId="0" borderId="0" xfId="13" applyFont="1" applyAlignment="1">
      <alignment horizontal="center" vertical="center" wrapText="1"/>
    </xf>
    <xf numFmtId="0" fontId="24" fillId="0" borderId="0" xfId="13" applyNumberFormat="1" applyFont="1" applyAlignment="1">
      <alignment horizontal="left" wrapText="1"/>
    </xf>
    <xf numFmtId="0" fontId="16" fillId="0" borderId="0" xfId="13" applyFont="1" applyAlignment="1">
      <alignment horizontal="center"/>
    </xf>
    <xf numFmtId="0" fontId="0" fillId="0" borderId="0" xfId="0" applyAlignment="1">
      <alignment horizontal="center"/>
    </xf>
    <xf numFmtId="0" fontId="16" fillId="4" borderId="56" xfId="13" applyNumberFormat="1" applyFont="1" applyFill="1" applyBorder="1" applyAlignment="1">
      <alignment horizontal="center"/>
    </xf>
    <xf numFmtId="0" fontId="16" fillId="4" borderId="57" xfId="13" applyNumberFormat="1" applyFont="1" applyFill="1" applyBorder="1" applyAlignment="1">
      <alignment horizontal="center"/>
    </xf>
    <xf numFmtId="0" fontId="2" fillId="0" borderId="13" xfId="8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" fontId="7" fillId="3" borderId="1" xfId="12" applyNumberFormat="1" applyFont="1" applyFill="1" applyBorder="1" applyAlignment="1">
      <alignment horizontal="center"/>
    </xf>
    <xf numFmtId="1" fontId="7" fillId="0" borderId="38" xfId="12" applyNumberFormat="1" applyFont="1" applyFill="1" applyBorder="1" applyAlignment="1">
      <alignment horizontal="center" vertical="center"/>
    </xf>
    <xf numFmtId="0" fontId="1" fillId="0" borderId="38" xfId="18" applyFill="1" applyBorder="1" applyAlignment="1">
      <alignment horizontal="center" vertical="center"/>
    </xf>
    <xf numFmtId="1" fontId="42" fillId="7" borderId="10" xfId="12" applyNumberFormat="1" applyFont="1" applyFill="1" applyBorder="1" applyAlignment="1">
      <alignment horizontal="center" vertical="center"/>
    </xf>
    <xf numFmtId="0" fontId="42" fillId="7" borderId="38" xfId="18" applyFont="1" applyFill="1" applyBorder="1" applyAlignment="1">
      <alignment horizontal="center" vertical="center"/>
    </xf>
    <xf numFmtId="0" fontId="42" fillId="7" borderId="8" xfId="18" applyFont="1" applyFill="1" applyBorder="1" applyAlignment="1">
      <alignment horizontal="center" vertical="center"/>
    </xf>
    <xf numFmtId="1" fontId="7" fillId="3" borderId="1" xfId="12" applyNumberFormat="1" applyFont="1" applyFill="1" applyBorder="1" applyAlignment="1">
      <alignment horizontal="center"/>
    </xf>
    <xf numFmtId="0" fontId="19" fillId="0" borderId="0" xfId="12" applyFont="1" applyAlignment="1">
      <alignment horizontal="left"/>
    </xf>
    <xf numFmtId="0" fontId="19" fillId="0" borderId="0" xfId="18" applyFont="1" applyAlignment="1"/>
    <xf numFmtId="0" fontId="9" fillId="0" borderId="0" xfId="15" applyNumberFormat="1" applyFont="1" applyAlignment="1">
      <alignment horizontal="left" wrapText="1"/>
    </xf>
    <xf numFmtId="0" fontId="9" fillId="0" borderId="0" xfId="18" applyFont="1" applyAlignment="1">
      <alignment wrapText="1"/>
    </xf>
    <xf numFmtId="0" fontId="8" fillId="3" borderId="0" xfId="16" applyNumberFormat="1" applyFont="1" applyFill="1" applyAlignment="1">
      <alignment horizontal="left" vertical="center" wrapText="1"/>
    </xf>
    <xf numFmtId="0" fontId="8" fillId="3" borderId="10" xfId="18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7" fillId="3" borderId="1" xfId="18" applyFont="1" applyFill="1" applyBorder="1" applyAlignment="1">
      <alignment horizontal="center" vertical="center" wrapText="1"/>
    </xf>
    <xf numFmtId="1" fontId="7" fillId="0" borderId="10" xfId="12" applyNumberFormat="1" applyFont="1" applyFill="1" applyBorder="1" applyAlignment="1">
      <alignment horizontal="center" vertical="center"/>
    </xf>
    <xf numFmtId="1" fontId="7" fillId="0" borderId="8" xfId="12" applyNumberFormat="1" applyFont="1" applyFill="1" applyBorder="1" applyAlignment="1">
      <alignment horizontal="center" vertical="center"/>
    </xf>
    <xf numFmtId="1" fontId="7" fillId="3" borderId="1" xfId="12" applyNumberFormat="1" applyFont="1" applyFill="1" applyBorder="1" applyAlignment="1">
      <alignment horizontal="center" vertical="center"/>
    </xf>
    <xf numFmtId="0" fontId="1" fillId="3" borderId="1" xfId="18" applyFill="1" applyBorder="1" applyAlignment="1">
      <alignment horizontal="center" vertical="center"/>
    </xf>
    <xf numFmtId="0" fontId="7" fillId="3" borderId="10" xfId="12" applyNumberFormat="1" applyFont="1" applyFill="1" applyBorder="1" applyAlignment="1">
      <alignment horizontal="center" vertical="center"/>
    </xf>
    <xf numFmtId="0" fontId="1" fillId="3" borderId="38" xfId="18" applyFill="1" applyBorder="1" applyAlignment="1">
      <alignment horizontal="center" vertical="center"/>
    </xf>
    <xf numFmtId="0" fontId="1" fillId="3" borderId="8" xfId="18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3" fontId="7" fillId="3" borderId="1" xfId="12" applyNumberFormat="1" applyFont="1" applyFill="1" applyBorder="1" applyAlignment="1">
      <alignment horizontal="center" vertical="center"/>
    </xf>
    <xf numFmtId="1" fontId="7" fillId="3" borderId="10" xfId="12" applyNumberFormat="1" applyFont="1" applyFill="1" applyBorder="1" applyAlignment="1">
      <alignment horizontal="center"/>
    </xf>
    <xf numFmtId="1" fontId="7" fillId="3" borderId="38" xfId="12" applyNumberFormat="1" applyFont="1" applyFill="1" applyBorder="1" applyAlignment="1">
      <alignment horizontal="center"/>
    </xf>
    <xf numFmtId="0" fontId="1" fillId="3" borderId="38" xfId="18" applyFill="1" applyBorder="1" applyAlignment="1">
      <alignment horizontal="center"/>
    </xf>
    <xf numFmtId="0" fontId="1" fillId="3" borderId="8" xfId="18" applyFill="1" applyBorder="1" applyAlignment="1">
      <alignment horizontal="center"/>
    </xf>
    <xf numFmtId="1" fontId="7" fillId="3" borderId="10" xfId="12" applyNumberFormat="1" applyFont="1" applyFill="1" applyBorder="1" applyAlignment="1">
      <alignment horizontal="center" vertical="center"/>
    </xf>
    <xf numFmtId="1" fontId="7" fillId="3" borderId="38" xfId="12" applyNumberFormat="1" applyFont="1" applyFill="1" applyBorder="1" applyAlignment="1">
      <alignment horizontal="center" vertical="center"/>
    </xf>
    <xf numFmtId="1" fontId="7" fillId="3" borderId="8" xfId="12" applyNumberFormat="1" applyFont="1" applyFill="1" applyBorder="1" applyAlignment="1">
      <alignment horizontal="center" vertical="center"/>
    </xf>
    <xf numFmtId="3" fontId="7" fillId="3" borderId="29" xfId="12" applyNumberFormat="1" applyFont="1" applyFill="1" applyBorder="1" applyAlignment="1">
      <alignment horizontal="center" vertical="center"/>
    </xf>
    <xf numFmtId="0" fontId="1" fillId="3" borderId="29" xfId="18" applyFill="1" applyBorder="1" applyAlignment="1">
      <alignment horizontal="center" vertical="center"/>
    </xf>
    <xf numFmtId="1" fontId="7" fillId="3" borderId="40" xfId="12" applyNumberFormat="1" applyFont="1" applyFill="1" applyBorder="1" applyAlignment="1">
      <alignment horizontal="center"/>
    </xf>
    <xf numFmtId="1" fontId="7" fillId="3" borderId="68" xfId="12" applyNumberFormat="1" applyFont="1" applyFill="1" applyBorder="1" applyAlignment="1">
      <alignment horizontal="center"/>
    </xf>
    <xf numFmtId="0" fontId="1" fillId="3" borderId="68" xfId="18" applyFill="1" applyBorder="1" applyAlignment="1">
      <alignment horizontal="center"/>
    </xf>
    <xf numFmtId="1" fontId="7" fillId="0" borderId="1" xfId="14" applyNumberFormat="1" applyFont="1" applyFill="1" applyBorder="1" applyAlignment="1">
      <alignment horizontal="center" vertical="center"/>
    </xf>
    <xf numFmtId="1" fontId="7" fillId="0" borderId="1" xfId="12" applyNumberFormat="1" applyFont="1" applyFill="1" applyBorder="1" applyAlignment="1">
      <alignment horizontal="center"/>
    </xf>
    <xf numFmtId="3" fontId="7" fillId="0" borderId="1" xfId="1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12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12" applyFont="1" applyAlignment="1">
      <alignment horizontal="left"/>
    </xf>
    <xf numFmtId="0" fontId="6" fillId="0" borderId="0" xfId="12" applyFont="1" applyAlignment="1">
      <alignment horizontal="center" vertical="center" wrapText="1"/>
    </xf>
    <xf numFmtId="0" fontId="7" fillId="0" borderId="0" xfId="18" applyFont="1" applyAlignment="1">
      <alignment wrapText="1"/>
    </xf>
    <xf numFmtId="0" fontId="7" fillId="0" borderId="0" xfId="12" applyNumberFormat="1" applyFont="1" applyAlignment="1">
      <alignment horizontal="left"/>
    </xf>
    <xf numFmtId="0" fontId="22" fillId="5" borderId="1" xfId="18" applyFont="1" applyFill="1" applyBorder="1" applyAlignment="1">
      <alignment horizontal="center" vertical="center" wrapText="1"/>
    </xf>
    <xf numFmtId="0" fontId="1" fillId="5" borderId="1" xfId="18" applyFont="1" applyFill="1" applyBorder="1" applyAlignment="1">
      <alignment horizontal="center"/>
    </xf>
    <xf numFmtId="1" fontId="21" fillId="3" borderId="1" xfId="1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3" borderId="10" xfId="9" applyNumberFormat="1" applyFon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3" fontId="7" fillId="3" borderId="10" xfId="12" applyNumberFormat="1" applyFont="1" applyFill="1" applyBorder="1" applyAlignment="1">
      <alignment horizontal="center" vertical="center"/>
    </xf>
    <xf numFmtId="3" fontId="1" fillId="3" borderId="10" xfId="12" applyNumberFormat="1" applyFont="1" applyFill="1" applyBorder="1" applyAlignment="1">
      <alignment horizontal="center" vertical="center"/>
    </xf>
    <xf numFmtId="3" fontId="1" fillId="3" borderId="38" xfId="12" applyNumberFormat="1" applyFont="1" applyFill="1" applyBorder="1" applyAlignment="1">
      <alignment horizontal="center" vertical="center"/>
    </xf>
    <xf numFmtId="3" fontId="1" fillId="3" borderId="8" xfId="12" applyNumberFormat="1" applyFont="1" applyFill="1" applyBorder="1" applyAlignment="1">
      <alignment horizontal="center" vertical="center"/>
    </xf>
    <xf numFmtId="0" fontId="1" fillId="3" borderId="38" xfId="18" applyFont="1" applyFill="1" applyBorder="1" applyAlignment="1">
      <alignment horizontal="center" vertical="center"/>
    </xf>
    <xf numFmtId="0" fontId="1" fillId="3" borderId="8" xfId="18" applyFont="1" applyFill="1" applyBorder="1" applyAlignment="1">
      <alignment horizontal="center" vertical="center"/>
    </xf>
    <xf numFmtId="3" fontId="42" fillId="7" borderId="10" xfId="12" applyNumberFormat="1" applyFont="1" applyFill="1" applyBorder="1" applyAlignment="1">
      <alignment horizontal="center" vertical="center"/>
    </xf>
    <xf numFmtId="3" fontId="7" fillId="3" borderId="1" xfId="12" applyNumberFormat="1" applyFont="1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4" xfId="0" applyBorder="1" applyAlignment="1">
      <alignment horizontal="center"/>
    </xf>
    <xf numFmtId="1" fontId="1" fillId="3" borderId="75" xfId="14" applyNumberFormat="1" applyFont="1" applyFill="1" applyBorder="1" applyAlignment="1">
      <alignment horizontal="center" vertical="center"/>
    </xf>
    <xf numFmtId="1" fontId="2" fillId="3" borderId="28" xfId="14" applyNumberFormat="1" applyFont="1" applyFill="1" applyBorder="1" applyAlignment="1">
      <alignment horizontal="center" vertical="center"/>
    </xf>
    <xf numFmtId="1" fontId="1" fillId="0" borderId="76" xfId="14" applyNumberFormat="1" applyFont="1" applyBorder="1" applyAlignment="1">
      <alignment horizontal="center" vertical="center"/>
    </xf>
    <xf numFmtId="1" fontId="1" fillId="3" borderId="52" xfId="14" applyNumberFormat="1" applyFont="1" applyFill="1" applyBorder="1" applyAlignment="1">
      <alignment horizontal="center" vertical="center"/>
    </xf>
    <xf numFmtId="0" fontId="1" fillId="0" borderId="6" xfId="18" applyBorder="1"/>
    <xf numFmtId="1" fontId="41" fillId="7" borderId="49" xfId="14" applyNumberFormat="1" applyFont="1" applyFill="1" applyBorder="1" applyAlignment="1">
      <alignment horizontal="center" vertical="center"/>
    </xf>
  </cellXfs>
  <cellStyles count="25">
    <cellStyle name="Гиперссылка_Прайс ЕВРО ТИС розница (изменен с 11.04.11)" xfId="1"/>
    <cellStyle name="Гиперссылка_Приложение  2 ТиС прайс" xfId="2"/>
    <cellStyle name="Гиперссылка_Приложение  2 ТиС прайс 2" xfId="3"/>
    <cellStyle name="Обычный" xfId="0" builtinId="0"/>
    <cellStyle name="Обычный 2" xfId="17"/>
    <cellStyle name="Обычный 3" xfId="18"/>
    <cellStyle name="Обычный_304 Адаптер,переход с 14.04.16" xfId="15"/>
    <cellStyle name="Обычный_430 Адаптер,переход с 14.04.16" xfId="16"/>
    <cellStyle name="Обычный_Master_Flash" xfId="4"/>
    <cellStyle name="Обычный_Адаптеры, переходы с 14.04.16" xfId="14"/>
    <cellStyle name="Обычный_Баки" xfId="21"/>
    <cellStyle name="Обычный_К Анализ прайса 430  430 Инжкомцентр Феррум от 05 08 11" xfId="5"/>
    <cellStyle name="Обычный_К Анализ прайса 430 моно от 11 08 11 Феррум  Инжкомцентр с исправленной СС" xfId="6"/>
    <cellStyle name="Обычный_К Анализ прайса 430 моно от 11 08 11 Феррум  Инжкомцентр с исправленной СС 2" xfId="20"/>
    <cellStyle name="Обычный_К Анализ прайса 430 моно от 11 08 11 Феррум  Инжкомцентр с исправленной СС_Моно 304" xfId="7"/>
    <cellStyle name="Обычный_К Анализ прайса 430оц Инжкомцентр, Феррум от 20.07.11" xfId="8"/>
    <cellStyle name="Обычный_К Анализ прайса 430оц Инжкомцентр, Феррум от 20.07.11 2" xfId="19"/>
    <cellStyle name="Обычный_Комплектующие к дымоходам" xfId="22"/>
    <cellStyle name="Обычный_Лист1" xfId="13"/>
    <cellStyle name="Обычный_Лист3" xfId="12"/>
    <cellStyle name="Обычный_Моно 304" xfId="9"/>
    <cellStyle name="Обычный_Приложение  2 ТиС прайс" xfId="10"/>
    <cellStyle name="Обычный_Приложение  2 ТиС прайс_Моно 304" xfId="11"/>
    <cellStyle name="Обычный_СТАНДАРТ 30 (AISI 444)" xfId="23"/>
    <cellStyle name="Обычный_СТАНДАРТ 50 (AISI 304)" xfId="24"/>
  </cellStyles>
  <dxfs count="0"/>
  <tableStyles count="0" defaultTableStyle="TableStyleMedium2" defaultPivotStyle="PivotStyleLight16"/>
  <colors>
    <mruColors>
      <color rgb="FFFF9933"/>
      <color rgb="FFCCECFF"/>
      <color rgb="FFFF6600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png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emf"/><Relationship Id="rId1" Type="http://schemas.openxmlformats.org/officeDocument/2006/relationships/image" Target="../media/image11.jpeg"/><Relationship Id="rId4" Type="http://schemas.openxmlformats.org/officeDocument/2006/relationships/image" Target="../media/image19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3.emf"/><Relationship Id="rId1" Type="http://schemas.openxmlformats.org/officeDocument/2006/relationships/image" Target="../media/image20.jpe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png"/><Relationship Id="rId1" Type="http://schemas.openxmlformats.org/officeDocument/2006/relationships/image" Target="../media/image7.jpe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3.emf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emf"/><Relationship Id="rId1" Type="http://schemas.openxmlformats.org/officeDocument/2006/relationships/image" Target="../media/image11.jpeg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png"/><Relationship Id="rId1" Type="http://schemas.openxmlformats.org/officeDocument/2006/relationships/image" Target="../media/image7.jpe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png"/><Relationship Id="rId1" Type="http://schemas.openxmlformats.org/officeDocument/2006/relationships/image" Target="../media/image14.jpeg"/><Relationship Id="rId4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3.emf"/><Relationship Id="rId1" Type="http://schemas.openxmlformats.org/officeDocument/2006/relationships/image" Target="../media/image5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0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4</xdr:row>
      <xdr:rowOff>51621</xdr:rowOff>
    </xdr:from>
    <xdr:to>
      <xdr:col>7</xdr:col>
      <xdr:colOff>466725</xdr:colOff>
      <xdr:row>4</xdr:row>
      <xdr:rowOff>371472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1728021"/>
          <a:ext cx="6048374" cy="319851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0</xdr:row>
      <xdr:rowOff>160507</xdr:rowOff>
    </xdr:from>
    <xdr:to>
      <xdr:col>5</xdr:col>
      <xdr:colOff>485775</xdr:colOff>
      <xdr:row>3</xdr:row>
      <xdr:rowOff>149063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160507"/>
          <a:ext cx="2371725" cy="124585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</xdr:row>
      <xdr:rowOff>304800</xdr:rowOff>
    </xdr:from>
    <xdr:to>
      <xdr:col>11</xdr:col>
      <xdr:colOff>7498</xdr:colOff>
      <xdr:row>15</xdr:row>
      <xdr:rowOff>28575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867275"/>
          <a:ext cx="8351398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67737</xdr:rowOff>
    </xdr:from>
    <xdr:to>
      <xdr:col>0</xdr:col>
      <xdr:colOff>1914525</xdr:colOff>
      <xdr:row>4</xdr:row>
      <xdr:rowOff>132628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7737"/>
          <a:ext cx="1895475" cy="988816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1</xdr:row>
      <xdr:rowOff>57150</xdr:rowOff>
    </xdr:from>
    <xdr:to>
      <xdr:col>3</xdr:col>
      <xdr:colOff>228599</xdr:colOff>
      <xdr:row>4</xdr:row>
      <xdr:rowOff>173647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4" y="247650"/>
          <a:ext cx="828675" cy="849922"/>
        </a:xfrm>
        <a:prstGeom prst="rect">
          <a:avLst/>
        </a:prstGeom>
      </xdr:spPr>
    </xdr:pic>
    <xdr:clientData/>
  </xdr:twoCellAnchor>
  <xdr:twoCellAnchor>
    <xdr:from>
      <xdr:col>0</xdr:col>
      <xdr:colOff>1905001</xdr:colOff>
      <xdr:row>0</xdr:row>
      <xdr:rowOff>161924</xdr:rowOff>
    </xdr:from>
    <xdr:to>
      <xdr:col>1</xdr:col>
      <xdr:colOff>571500</xdr:colOff>
      <xdr:row>5</xdr:row>
      <xdr:rowOff>9524</xdr:rowOff>
    </xdr:to>
    <xdr:sp macro="" textlink="">
      <xdr:nvSpPr>
        <xdr:cNvPr id="11" name="TextBox 10"/>
        <xdr:cNvSpPr txBox="1"/>
      </xdr:nvSpPr>
      <xdr:spPr>
        <a:xfrm>
          <a:off x="1905001" y="161924"/>
          <a:ext cx="3990974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800" b="1">
              <a:latin typeface="Arial Narrow" panose="020B0606020202030204" pitchFamily="34" charset="0"/>
            </a:rPr>
            <a:t>Дымоходы ТиС Стандарт Овал Моно</a:t>
          </a:r>
          <a:endParaRPr lang="ru-RU" sz="2000" b="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159898</xdr:colOff>
      <xdr:row>28</xdr:row>
      <xdr:rowOff>154914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8775"/>
          <a:ext cx="7684648" cy="1288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1680</xdr:rowOff>
    </xdr:from>
    <xdr:to>
      <xdr:col>0</xdr:col>
      <xdr:colOff>771525</xdr:colOff>
      <xdr:row>9</xdr:row>
      <xdr:rowOff>22411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0" y="1668555"/>
          <a:ext cx="771525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1914525</xdr:colOff>
      <xdr:row>53</xdr:row>
      <xdr:rowOff>0</xdr:rowOff>
    </xdr:from>
    <xdr:to>
      <xdr:col>0</xdr:col>
      <xdr:colOff>2686050</xdr:colOff>
      <xdr:row>54</xdr:row>
      <xdr:rowOff>16669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914525" y="9658350"/>
          <a:ext cx="771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8</xdr:row>
      <xdr:rowOff>1680</xdr:rowOff>
    </xdr:from>
    <xdr:to>
      <xdr:col>0</xdr:col>
      <xdr:colOff>771525</xdr:colOff>
      <xdr:row>10</xdr:row>
      <xdr:rowOff>46223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1668555"/>
          <a:ext cx="771525" cy="39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555625</xdr:colOff>
      <xdr:row>1</xdr:row>
      <xdr:rowOff>99219</xdr:rowOff>
    </xdr:from>
    <xdr:to>
      <xdr:col>0</xdr:col>
      <xdr:colOff>2451100</xdr:colOff>
      <xdr:row>6</xdr:row>
      <xdr:rowOff>64097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289719"/>
          <a:ext cx="1895475" cy="996753"/>
        </a:xfrm>
        <a:prstGeom prst="rect">
          <a:avLst/>
        </a:prstGeom>
      </xdr:spPr>
    </xdr:pic>
    <xdr:clientData/>
  </xdr:twoCellAnchor>
  <xdr:twoCellAnchor editAs="oneCell">
    <xdr:from>
      <xdr:col>0</xdr:col>
      <xdr:colOff>186531</xdr:colOff>
      <xdr:row>54</xdr:row>
      <xdr:rowOff>35718</xdr:rowOff>
    </xdr:from>
    <xdr:to>
      <xdr:col>24</xdr:col>
      <xdr:colOff>174623</xdr:colOff>
      <xdr:row>60</xdr:row>
      <xdr:rowOff>174624</xdr:rowOff>
    </xdr:to>
    <xdr:pic>
      <xdr:nvPicPr>
        <xdr:cNvPr id="6" name="Рисунок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85" b="15934"/>
        <a:stretch/>
      </xdr:blipFill>
      <xdr:spPr bwMode="auto">
        <a:xfrm>
          <a:off x="186531" y="10433843"/>
          <a:ext cx="13481842" cy="129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345281</xdr:colOff>
      <xdr:row>0</xdr:row>
      <xdr:rowOff>154781</xdr:rowOff>
    </xdr:from>
    <xdr:to>
      <xdr:col>24</xdr:col>
      <xdr:colOff>391825</xdr:colOff>
      <xdr:row>5</xdr:row>
      <xdr:rowOff>82235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0906" y="154781"/>
          <a:ext cx="922845" cy="946629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</xdr:colOff>
      <xdr:row>3</xdr:row>
      <xdr:rowOff>71438</xdr:rowOff>
    </xdr:from>
    <xdr:to>
      <xdr:col>14</xdr:col>
      <xdr:colOff>75438</xdr:colOff>
      <xdr:row>4</xdr:row>
      <xdr:rowOff>152210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1" y="654844"/>
          <a:ext cx="3980688" cy="2712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146051</xdr:colOff>
      <xdr:row>1</xdr:row>
      <xdr:rowOff>60325</xdr:rowOff>
    </xdr:from>
    <xdr:to>
      <xdr:col>0</xdr:col>
      <xdr:colOff>1416050</xdr:colOff>
      <xdr:row>4</xdr:row>
      <xdr:rowOff>47625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1" y="250825"/>
          <a:ext cx="1269999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133350</xdr:rowOff>
    </xdr:from>
    <xdr:to>
      <xdr:col>4</xdr:col>
      <xdr:colOff>95250</xdr:colOff>
      <xdr:row>35</xdr:row>
      <xdr:rowOff>9525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80105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1351675</xdr:colOff>
      <xdr:row>1</xdr:row>
      <xdr:rowOff>117878</xdr:rowOff>
    </xdr:from>
    <xdr:to>
      <xdr:col>3</xdr:col>
      <xdr:colOff>2066925</xdr:colOff>
      <xdr:row>4</xdr:row>
      <xdr:rowOff>142875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9050" y="308378"/>
          <a:ext cx="715250" cy="729847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11</xdr:row>
      <xdr:rowOff>57151</xdr:rowOff>
    </xdr:from>
    <xdr:to>
      <xdr:col>3</xdr:col>
      <xdr:colOff>1533525</xdr:colOff>
      <xdr:row>13</xdr:row>
      <xdr:rowOff>450887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530" t="14890" r="87289" b="53773"/>
        <a:stretch/>
      </xdr:blipFill>
      <xdr:spPr>
        <a:xfrm>
          <a:off x="6315075" y="3876676"/>
          <a:ext cx="885825" cy="1403386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18</xdr:row>
      <xdr:rowOff>28575</xdr:rowOff>
    </xdr:from>
    <xdr:to>
      <xdr:col>3</xdr:col>
      <xdr:colOff>1514475</xdr:colOff>
      <xdr:row>20</xdr:row>
      <xdr:rowOff>439511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668" t="59118" r="87498" b="8878"/>
        <a:stretch/>
      </xdr:blipFill>
      <xdr:spPr>
        <a:xfrm>
          <a:off x="6353175" y="5362575"/>
          <a:ext cx="828675" cy="1420586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628651</xdr:colOff>
      <xdr:row>7</xdr:row>
      <xdr:rowOff>247650</xdr:rowOff>
    </xdr:from>
    <xdr:to>
      <xdr:col>3</xdr:col>
      <xdr:colOff>1539957</xdr:colOff>
      <xdr:row>10</xdr:row>
      <xdr:rowOff>95250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146" t="46898" r="87187" b="21213"/>
        <a:stretch/>
      </xdr:blipFill>
      <xdr:spPr>
        <a:xfrm>
          <a:off x="6296026" y="2047875"/>
          <a:ext cx="911306" cy="1362075"/>
        </a:xfrm>
        <a:prstGeom prst="rect">
          <a:avLst/>
        </a:prstGeom>
      </xdr:spPr>
    </xdr:pic>
    <xdr:clientData/>
  </xdr:twoCellAnchor>
  <xdr:twoCellAnchor>
    <xdr:from>
      <xdr:col>0</xdr:col>
      <xdr:colOff>1590675</xdr:colOff>
      <xdr:row>1</xdr:row>
      <xdr:rowOff>19050</xdr:rowOff>
    </xdr:from>
    <xdr:to>
      <xdr:col>3</xdr:col>
      <xdr:colOff>1304928</xdr:colOff>
      <xdr:row>5</xdr:row>
      <xdr:rowOff>19049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 rot="16200000">
          <a:off x="3833814" y="-2033589"/>
          <a:ext cx="895349" cy="53816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anchorCtr="0" upright="1"/>
        <a:lstStyle/>
        <a:p>
          <a:pPr algn="l" rtl="0">
            <a:lnSpc>
              <a:spcPts val="900"/>
            </a:lnSpc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Баки, теплообменники, конвектор,</a:t>
          </a:r>
        </a:p>
        <a:p>
          <a:pPr algn="l" rtl="0">
            <a:lnSpc>
              <a:spcPts val="900"/>
            </a:lnSpc>
            <a:defRPr sz="1000"/>
          </a:pPr>
          <a:endParaRPr lang="ru-RU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сетка для камней</a:t>
          </a:r>
        </a:p>
        <a:p>
          <a:pPr algn="l" rtl="0">
            <a:lnSpc>
              <a:spcPts val="900"/>
            </a:lnSpc>
            <a:defRPr sz="1000"/>
          </a:pPr>
          <a:endParaRPr lang="ru-RU" sz="2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301313</xdr:colOff>
      <xdr:row>1</xdr:row>
      <xdr:rowOff>149225</xdr:rowOff>
    </xdr:from>
    <xdr:to>
      <xdr:col>0</xdr:col>
      <xdr:colOff>2124075</xdr:colOff>
      <xdr:row>5</xdr:row>
      <xdr:rowOff>139700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13" y="339725"/>
          <a:ext cx="1822762" cy="1101725"/>
        </a:xfrm>
        <a:prstGeom prst="rect">
          <a:avLst/>
        </a:prstGeom>
      </xdr:spPr>
    </xdr:pic>
    <xdr:clientData/>
  </xdr:twoCellAnchor>
  <xdr:twoCellAnchor>
    <xdr:from>
      <xdr:col>3</xdr:col>
      <xdr:colOff>206375</xdr:colOff>
      <xdr:row>6</xdr:row>
      <xdr:rowOff>68036</xdr:rowOff>
    </xdr:from>
    <xdr:to>
      <xdr:col>7</xdr:col>
      <xdr:colOff>285749</xdr:colOff>
      <xdr:row>7</xdr:row>
      <xdr:rowOff>79375</xdr:rowOff>
    </xdr:to>
    <xdr:sp macro="" textlink="">
      <xdr:nvSpPr>
        <xdr:cNvPr id="3" name="TextBox 2"/>
        <xdr:cNvSpPr txBox="1"/>
      </xdr:nvSpPr>
      <xdr:spPr>
        <a:xfrm>
          <a:off x="3635375" y="1592036"/>
          <a:ext cx="1936749" cy="4240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Система Моно </a:t>
          </a:r>
        </a:p>
      </xdr:txBody>
    </xdr:sp>
    <xdr:clientData/>
  </xdr:twoCellAnchor>
  <xdr:twoCellAnchor>
    <xdr:from>
      <xdr:col>1</xdr:col>
      <xdr:colOff>3175</xdr:colOff>
      <xdr:row>0</xdr:row>
      <xdr:rowOff>133350</xdr:rowOff>
    </xdr:from>
    <xdr:to>
      <xdr:col>9</xdr:col>
      <xdr:colOff>396875</xdr:colOff>
      <xdr:row>4</xdr:row>
      <xdr:rowOff>31750</xdr:rowOff>
    </xdr:to>
    <xdr:sp macro="" textlink="">
      <xdr:nvSpPr>
        <xdr:cNvPr id="4" name="TextBox 3"/>
        <xdr:cNvSpPr txBox="1"/>
      </xdr:nvSpPr>
      <xdr:spPr>
        <a:xfrm>
          <a:off x="2543175" y="133350"/>
          <a:ext cx="4029075" cy="946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latin typeface="Arial Narrow" panose="020B0606020202030204" pitchFamily="34" charset="0"/>
            </a:rPr>
            <a:t>Дымоходы ТиС Феррит</a:t>
          </a:r>
        </a:p>
        <a:p>
          <a:endParaRPr lang="ru-RU" sz="2000" b="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12</xdr:col>
      <xdr:colOff>114300</xdr:colOff>
      <xdr:row>1</xdr:row>
      <xdr:rowOff>307975</xdr:rowOff>
    </xdr:from>
    <xdr:to>
      <xdr:col>14</xdr:col>
      <xdr:colOff>346675</xdr:colOff>
      <xdr:row>5</xdr:row>
      <xdr:rowOff>209550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0" y="498475"/>
          <a:ext cx="1127725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123825</xdr:rowOff>
    </xdr:from>
    <xdr:to>
      <xdr:col>14</xdr:col>
      <xdr:colOff>288551</xdr:colOff>
      <xdr:row>76</xdr:row>
      <xdr:rowOff>172358</xdr:rowOff>
    </xdr:to>
    <xdr:pic>
      <xdr:nvPicPr>
        <xdr:cNvPr id="6" name="Рисунок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14" b="559"/>
        <a:stretch/>
      </xdr:blipFill>
      <xdr:spPr bwMode="auto">
        <a:xfrm>
          <a:off x="0" y="13354050"/>
          <a:ext cx="8784851" cy="119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130175</xdr:colOff>
      <xdr:row>2</xdr:row>
      <xdr:rowOff>304800</xdr:rowOff>
    </xdr:from>
    <xdr:to>
      <xdr:col>11</xdr:col>
      <xdr:colOff>214145</xdr:colOff>
      <xdr:row>6</xdr:row>
      <xdr:rowOff>95250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828675"/>
          <a:ext cx="4694070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2</xdr:row>
      <xdr:rowOff>47626</xdr:rowOff>
    </xdr:from>
    <xdr:to>
      <xdr:col>0</xdr:col>
      <xdr:colOff>2428875</xdr:colOff>
      <xdr:row>5</xdr:row>
      <xdr:rowOff>116485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571501"/>
          <a:ext cx="2035175" cy="1037234"/>
        </a:xfrm>
        <a:prstGeom prst="rect">
          <a:avLst/>
        </a:prstGeom>
      </xdr:spPr>
    </xdr:pic>
    <xdr:clientData/>
  </xdr:twoCellAnchor>
  <xdr:twoCellAnchor>
    <xdr:from>
      <xdr:col>4</xdr:col>
      <xdr:colOff>190126</xdr:colOff>
      <xdr:row>7</xdr:row>
      <xdr:rowOff>9151</xdr:rowOff>
    </xdr:from>
    <xdr:to>
      <xdr:col>10</xdr:col>
      <xdr:colOff>558613</xdr:colOff>
      <xdr:row>8</xdr:row>
      <xdr:rowOff>171076</xdr:rowOff>
    </xdr:to>
    <xdr:sp macro="" textlink="">
      <xdr:nvSpPr>
        <xdr:cNvPr id="3" name="TextBox 2"/>
        <xdr:cNvSpPr txBox="1"/>
      </xdr:nvSpPr>
      <xdr:spPr>
        <a:xfrm>
          <a:off x="4460501" y="1787151"/>
          <a:ext cx="3829237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       Система Термо </a:t>
          </a:r>
        </a:p>
      </xdr:txBody>
    </xdr:sp>
    <xdr:clientData/>
  </xdr:twoCellAnchor>
  <xdr:twoCellAnchor>
    <xdr:from>
      <xdr:col>3</xdr:col>
      <xdr:colOff>349250</xdr:colOff>
      <xdr:row>0</xdr:row>
      <xdr:rowOff>69850</xdr:rowOff>
    </xdr:from>
    <xdr:to>
      <xdr:col>8</xdr:col>
      <xdr:colOff>396875</xdr:colOff>
      <xdr:row>4</xdr:row>
      <xdr:rowOff>190500</xdr:rowOff>
    </xdr:to>
    <xdr:sp macro="" textlink="">
      <xdr:nvSpPr>
        <xdr:cNvPr id="4" name="TextBox 3"/>
        <xdr:cNvSpPr txBox="1"/>
      </xdr:nvSpPr>
      <xdr:spPr>
        <a:xfrm>
          <a:off x="4064000" y="69850"/>
          <a:ext cx="2921000" cy="1358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latin typeface="Arial Narrow" panose="020B0606020202030204" pitchFamily="34" charset="0"/>
            </a:rPr>
            <a:t>Дымоходы ТиС Феррит</a:t>
          </a:r>
        </a:p>
        <a:p>
          <a:endParaRPr lang="ru-RU" sz="2000" b="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12</xdr:col>
      <xdr:colOff>257735</xdr:colOff>
      <xdr:row>1</xdr:row>
      <xdr:rowOff>112060</xdr:rowOff>
    </xdr:from>
    <xdr:to>
      <xdr:col>15</xdr:col>
      <xdr:colOff>112060</xdr:colOff>
      <xdr:row>6</xdr:row>
      <xdr:rowOff>156882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8470" y="302560"/>
          <a:ext cx="1580030" cy="1580028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73</xdr:row>
      <xdr:rowOff>11205</xdr:rowOff>
    </xdr:from>
    <xdr:to>
      <xdr:col>13</xdr:col>
      <xdr:colOff>324970</xdr:colOff>
      <xdr:row>80</xdr:row>
      <xdr:rowOff>89647</xdr:rowOff>
    </xdr:to>
    <xdr:pic>
      <xdr:nvPicPr>
        <xdr:cNvPr id="6" name="Рисунок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14" b="559"/>
        <a:stretch/>
      </xdr:blipFill>
      <xdr:spPr bwMode="auto">
        <a:xfrm>
          <a:off x="235324" y="14343529"/>
          <a:ext cx="10219764" cy="141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504265</xdr:colOff>
      <xdr:row>3</xdr:row>
      <xdr:rowOff>81244</xdr:rowOff>
    </xdr:from>
    <xdr:to>
      <xdr:col>10</xdr:col>
      <xdr:colOff>162485</xdr:colOff>
      <xdr:row>7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2" y="1134597"/>
          <a:ext cx="3978087" cy="8488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</xdr:row>
      <xdr:rowOff>47624</xdr:rowOff>
    </xdr:from>
    <xdr:to>
      <xdr:col>1</xdr:col>
      <xdr:colOff>466726</xdr:colOff>
      <xdr:row>5</xdr:row>
      <xdr:rowOff>33140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38124"/>
          <a:ext cx="1581150" cy="795141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295274</xdr:colOff>
      <xdr:row>59</xdr:row>
      <xdr:rowOff>73025</xdr:rowOff>
    </xdr:from>
    <xdr:to>
      <xdr:col>14</xdr:col>
      <xdr:colOff>50799</xdr:colOff>
      <xdr:row>67</xdr:row>
      <xdr:rowOff>120650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" y="11455400"/>
          <a:ext cx="8753475" cy="131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1</xdr:row>
      <xdr:rowOff>19049</xdr:rowOff>
    </xdr:from>
    <xdr:to>
      <xdr:col>11</xdr:col>
      <xdr:colOff>190500</xdr:colOff>
      <xdr:row>4</xdr:row>
      <xdr:rowOff>200024</xdr:rowOff>
    </xdr:to>
    <xdr:sp macro="" textlink="">
      <xdr:nvSpPr>
        <xdr:cNvPr id="4" name="TextBox 3"/>
        <xdr:cNvSpPr txBox="1"/>
      </xdr:nvSpPr>
      <xdr:spPr>
        <a:xfrm>
          <a:off x="2695575" y="209549"/>
          <a:ext cx="4178300" cy="784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0">
              <a:latin typeface="Arial Narrow" panose="020B0606020202030204" pitchFamily="34" charset="0"/>
            </a:rPr>
            <a:t>Адаптеры и переходы для Системы</a:t>
          </a:r>
          <a:r>
            <a:rPr lang="ru-RU" sz="2000" b="0" baseline="0">
              <a:latin typeface="Arial Narrow" panose="020B0606020202030204" pitchFamily="34" charset="0"/>
            </a:rPr>
            <a:t> ТиС Феррит</a:t>
          </a:r>
          <a:endParaRPr lang="ru-RU" sz="2000" b="0">
            <a:latin typeface="Arial Narrow" panose="020B0606020202030204" pitchFamily="34" charset="0"/>
          </a:endParaRPr>
        </a:p>
        <a:p>
          <a:endParaRPr lang="ru-RU" sz="2000" b="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13</xdr:col>
      <xdr:colOff>352425</xdr:colOff>
      <xdr:row>0</xdr:row>
      <xdr:rowOff>142875</xdr:rowOff>
    </xdr:from>
    <xdr:to>
      <xdr:col>15</xdr:col>
      <xdr:colOff>394133</xdr:colOff>
      <xdr:row>5</xdr:row>
      <xdr:rowOff>114300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142875"/>
          <a:ext cx="1051358" cy="971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74</xdr:row>
      <xdr:rowOff>0</xdr:rowOff>
    </xdr:from>
    <xdr:to>
      <xdr:col>0</xdr:col>
      <xdr:colOff>2209800</xdr:colOff>
      <xdr:row>76</xdr:row>
      <xdr:rowOff>57150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438275" y="15097125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1333500</xdr:colOff>
      <xdr:row>74</xdr:row>
      <xdr:rowOff>0</xdr:rowOff>
    </xdr:from>
    <xdr:to>
      <xdr:col>0</xdr:col>
      <xdr:colOff>2533650</xdr:colOff>
      <xdr:row>75</xdr:row>
      <xdr:rowOff>28250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33500" y="15097125"/>
          <a:ext cx="1200150" cy="19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ru-RU"/>
        </a:p>
      </xdr:txBody>
    </xdr:sp>
    <xdr:clientData/>
  </xdr:twoCellAnchor>
  <xdr:oneCellAnchor>
    <xdr:from>
      <xdr:col>6</xdr:col>
      <xdr:colOff>50346</xdr:colOff>
      <xdr:row>74</xdr:row>
      <xdr:rowOff>0</xdr:rowOff>
    </xdr:from>
    <xdr:ext cx="771525" cy="381000"/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936921" y="15097125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222250</xdr:colOff>
      <xdr:row>2</xdr:row>
      <xdr:rowOff>127000</xdr:rowOff>
    </xdr:from>
    <xdr:to>
      <xdr:col>0</xdr:col>
      <xdr:colOff>2117725</xdr:colOff>
      <xdr:row>6</xdr:row>
      <xdr:rowOff>318891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508000"/>
          <a:ext cx="1895475" cy="1128516"/>
        </a:xfrm>
        <a:prstGeom prst="rect">
          <a:avLst/>
        </a:prstGeom>
      </xdr:spPr>
    </xdr:pic>
    <xdr:clientData/>
  </xdr:twoCellAnchor>
  <xdr:twoCellAnchor>
    <xdr:from>
      <xdr:col>1</xdr:col>
      <xdr:colOff>333374</xdr:colOff>
      <xdr:row>6</xdr:row>
      <xdr:rowOff>266701</xdr:rowOff>
    </xdr:from>
    <xdr:to>
      <xdr:col>5</xdr:col>
      <xdr:colOff>104775</xdr:colOff>
      <xdr:row>7</xdr:row>
      <xdr:rowOff>276226</xdr:rowOff>
    </xdr:to>
    <xdr:sp macro="" textlink="">
      <xdr:nvSpPr>
        <xdr:cNvPr id="7" name="TextBox 6"/>
        <xdr:cNvSpPr txBox="1"/>
      </xdr:nvSpPr>
      <xdr:spPr>
        <a:xfrm>
          <a:off x="3648074" y="1590676"/>
          <a:ext cx="2628901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Система Моно</a:t>
          </a:r>
        </a:p>
      </xdr:txBody>
    </xdr:sp>
    <xdr:clientData/>
  </xdr:twoCellAnchor>
  <xdr:twoCellAnchor>
    <xdr:from>
      <xdr:col>0</xdr:col>
      <xdr:colOff>2247899</xdr:colOff>
      <xdr:row>40</xdr:row>
      <xdr:rowOff>114300</xdr:rowOff>
    </xdr:from>
    <xdr:to>
      <xdr:col>6</xdr:col>
      <xdr:colOff>342900</xdr:colOff>
      <xdr:row>42</xdr:row>
      <xdr:rowOff>142874</xdr:rowOff>
    </xdr:to>
    <xdr:sp macro="" textlink="">
      <xdr:nvSpPr>
        <xdr:cNvPr id="8" name="TextBox 7"/>
        <xdr:cNvSpPr txBox="1"/>
      </xdr:nvSpPr>
      <xdr:spPr>
        <a:xfrm>
          <a:off x="2247899" y="8429625"/>
          <a:ext cx="4981576" cy="352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       Система Термо с изоляцией 30 мм.         </a:t>
          </a:r>
        </a:p>
      </xdr:txBody>
    </xdr:sp>
    <xdr:clientData/>
  </xdr:twoCellAnchor>
  <xdr:twoCellAnchor>
    <xdr:from>
      <xdr:col>0</xdr:col>
      <xdr:colOff>2200275</xdr:colOff>
      <xdr:row>0</xdr:row>
      <xdr:rowOff>142875</xdr:rowOff>
    </xdr:from>
    <xdr:to>
      <xdr:col>5</xdr:col>
      <xdr:colOff>561975</xdr:colOff>
      <xdr:row>3</xdr:row>
      <xdr:rowOff>66675</xdr:rowOff>
    </xdr:to>
    <xdr:sp macro="" textlink="">
      <xdr:nvSpPr>
        <xdr:cNvPr id="9" name="TextBox 8"/>
        <xdr:cNvSpPr txBox="1"/>
      </xdr:nvSpPr>
      <xdr:spPr>
        <a:xfrm>
          <a:off x="2200275" y="142875"/>
          <a:ext cx="45339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latin typeface="Arial Narrow" panose="020B0606020202030204" pitchFamily="34" charset="0"/>
            </a:rPr>
            <a:t>Дымоходы ТиС Стандарт 30 </a:t>
          </a:r>
          <a:endParaRPr lang="ru-RU" sz="2000" b="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81</xdr:row>
      <xdr:rowOff>485775</xdr:rowOff>
    </xdr:from>
    <xdr:to>
      <xdr:col>9</xdr:col>
      <xdr:colOff>419100</xdr:colOff>
      <xdr:row>90</xdr:row>
      <xdr:rowOff>96158</xdr:rowOff>
    </xdr:to>
    <xdr:pic>
      <xdr:nvPicPr>
        <xdr:cNvPr id="10" name="Рисунок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14" b="559"/>
        <a:stretch/>
      </xdr:blipFill>
      <xdr:spPr bwMode="auto">
        <a:xfrm>
          <a:off x="0" y="16802100"/>
          <a:ext cx="9344025" cy="1391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76200</xdr:rowOff>
    </xdr:from>
    <xdr:to>
      <xdr:col>7</xdr:col>
      <xdr:colOff>598994</xdr:colOff>
      <xdr:row>5</xdr:row>
      <xdr:rowOff>40166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0" y="76200"/>
          <a:ext cx="865694" cy="887891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2590801</xdr:colOff>
      <xdr:row>3</xdr:row>
      <xdr:rowOff>117977</xdr:rowOff>
    </xdr:from>
    <xdr:to>
      <xdr:col>5</xdr:col>
      <xdr:colOff>520629</xdr:colOff>
      <xdr:row>6</xdr:row>
      <xdr:rowOff>342899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1" y="689477"/>
          <a:ext cx="4102028" cy="9773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88</xdr:row>
      <xdr:rowOff>0</xdr:rowOff>
    </xdr:from>
    <xdr:to>
      <xdr:col>0</xdr:col>
      <xdr:colOff>2209800</xdr:colOff>
      <xdr:row>90</xdr:row>
      <xdr:rowOff>57150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438275" y="13973175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1333500</xdr:colOff>
      <xdr:row>88</xdr:row>
      <xdr:rowOff>0</xdr:rowOff>
    </xdr:from>
    <xdr:to>
      <xdr:col>0</xdr:col>
      <xdr:colOff>2533650</xdr:colOff>
      <xdr:row>89</xdr:row>
      <xdr:rowOff>28250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333500" y="13973175"/>
          <a:ext cx="1200150" cy="19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ru-RU"/>
        </a:p>
      </xdr:txBody>
    </xdr:sp>
    <xdr:clientData/>
  </xdr:twoCellAnchor>
  <xdr:oneCellAnchor>
    <xdr:from>
      <xdr:col>7</xdr:col>
      <xdr:colOff>50346</xdr:colOff>
      <xdr:row>88</xdr:row>
      <xdr:rowOff>0</xdr:rowOff>
    </xdr:from>
    <xdr:ext cx="771525" cy="381000"/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6870246" y="13973175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142875</xdr:colOff>
      <xdr:row>2</xdr:row>
      <xdr:rowOff>158750</xdr:rowOff>
    </xdr:from>
    <xdr:to>
      <xdr:col>0</xdr:col>
      <xdr:colOff>2038350</xdr:colOff>
      <xdr:row>6</xdr:row>
      <xdr:rowOff>334766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39750"/>
          <a:ext cx="1895475" cy="985641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180975</xdr:rowOff>
    </xdr:from>
    <xdr:to>
      <xdr:col>8</xdr:col>
      <xdr:colOff>122744</xdr:colOff>
      <xdr:row>5</xdr:row>
      <xdr:rowOff>144941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80975"/>
          <a:ext cx="865694" cy="887891"/>
        </a:xfrm>
        <a:prstGeom prst="rect">
          <a:avLst/>
        </a:prstGeom>
      </xdr:spPr>
    </xdr:pic>
    <xdr:clientData/>
  </xdr:twoCellAnchor>
  <xdr:twoCellAnchor>
    <xdr:from>
      <xdr:col>2</xdr:col>
      <xdr:colOff>123824</xdr:colOff>
      <xdr:row>7</xdr:row>
      <xdr:rowOff>9525</xdr:rowOff>
    </xdr:from>
    <xdr:to>
      <xdr:col>5</xdr:col>
      <xdr:colOff>400050</xdr:colOff>
      <xdr:row>7</xdr:row>
      <xdr:rowOff>447675</xdr:rowOff>
    </xdr:to>
    <xdr:sp macro="" textlink="">
      <xdr:nvSpPr>
        <xdr:cNvPr id="15" name="TextBox 14"/>
        <xdr:cNvSpPr txBox="1"/>
      </xdr:nvSpPr>
      <xdr:spPr>
        <a:xfrm>
          <a:off x="3438524" y="1704975"/>
          <a:ext cx="2419351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Система Моно</a:t>
          </a:r>
        </a:p>
      </xdr:txBody>
    </xdr:sp>
    <xdr:clientData/>
  </xdr:twoCellAnchor>
  <xdr:twoCellAnchor>
    <xdr:from>
      <xdr:col>0</xdr:col>
      <xdr:colOff>2009774</xdr:colOff>
      <xdr:row>44</xdr:row>
      <xdr:rowOff>9525</xdr:rowOff>
    </xdr:from>
    <xdr:to>
      <xdr:col>6</xdr:col>
      <xdr:colOff>247650</xdr:colOff>
      <xdr:row>45</xdr:row>
      <xdr:rowOff>95250</xdr:rowOff>
    </xdr:to>
    <xdr:sp macro="" textlink="">
      <xdr:nvSpPr>
        <xdr:cNvPr id="21" name="TextBox 20"/>
        <xdr:cNvSpPr txBox="1"/>
      </xdr:nvSpPr>
      <xdr:spPr>
        <a:xfrm>
          <a:off x="2009774" y="933450"/>
          <a:ext cx="4410076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       Система Термо с изоляцией 50 мм.         </a:t>
          </a:r>
        </a:p>
      </xdr:txBody>
    </xdr:sp>
    <xdr:clientData/>
  </xdr:twoCellAnchor>
  <xdr:twoCellAnchor>
    <xdr:from>
      <xdr:col>0</xdr:col>
      <xdr:colOff>2209800</xdr:colOff>
      <xdr:row>0</xdr:row>
      <xdr:rowOff>161926</xdr:rowOff>
    </xdr:from>
    <xdr:to>
      <xdr:col>6</xdr:col>
      <xdr:colOff>676275</xdr:colOff>
      <xdr:row>3</xdr:row>
      <xdr:rowOff>123826</xdr:rowOff>
    </xdr:to>
    <xdr:sp macro="" textlink="">
      <xdr:nvSpPr>
        <xdr:cNvPr id="24" name="TextBox 23"/>
        <xdr:cNvSpPr txBox="1"/>
      </xdr:nvSpPr>
      <xdr:spPr>
        <a:xfrm>
          <a:off x="2209800" y="161926"/>
          <a:ext cx="45053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latin typeface="Arial Narrow" panose="020B0606020202030204" pitchFamily="34" charset="0"/>
            </a:rPr>
            <a:t>Дымоходы ТиС Стандарт 50 </a:t>
          </a:r>
          <a:endParaRPr lang="ru-RU" sz="2000" b="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96</xdr:row>
      <xdr:rowOff>142875</xdr:rowOff>
    </xdr:from>
    <xdr:to>
      <xdr:col>9</xdr:col>
      <xdr:colOff>333375</xdr:colOff>
      <xdr:row>104</xdr:row>
      <xdr:rowOff>9525</xdr:rowOff>
    </xdr:to>
    <xdr:pic>
      <xdr:nvPicPr>
        <xdr:cNvPr id="25" name="Рисунок 2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86" b="9737"/>
        <a:stretch/>
      </xdr:blipFill>
      <xdr:spPr bwMode="auto">
        <a:xfrm>
          <a:off x="0" y="9153525"/>
          <a:ext cx="9344025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2390776</xdr:colOff>
      <xdr:row>4</xdr:row>
      <xdr:rowOff>13062</xdr:rowOff>
    </xdr:from>
    <xdr:to>
      <xdr:col>5</xdr:col>
      <xdr:colOff>76200</xdr:colOff>
      <xdr:row>6</xdr:row>
      <xdr:rowOff>412839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6" y="746487"/>
          <a:ext cx="3829049" cy="85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154642</xdr:rowOff>
    </xdr:from>
    <xdr:to>
      <xdr:col>0</xdr:col>
      <xdr:colOff>1200150</xdr:colOff>
      <xdr:row>46</xdr:row>
      <xdr:rowOff>154642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0" y="10258425"/>
          <a:ext cx="1200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46</xdr:row>
      <xdr:rowOff>154642</xdr:rowOff>
    </xdr:from>
    <xdr:to>
      <xdr:col>0</xdr:col>
      <xdr:colOff>1200150</xdr:colOff>
      <xdr:row>46</xdr:row>
      <xdr:rowOff>154642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10258425"/>
          <a:ext cx="1200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46</xdr:row>
      <xdr:rowOff>154642</xdr:rowOff>
    </xdr:from>
    <xdr:to>
      <xdr:col>0</xdr:col>
      <xdr:colOff>1200150</xdr:colOff>
      <xdr:row>46</xdr:row>
      <xdr:rowOff>154642</xdr:rowOff>
    </xdr:to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0" y="10258425"/>
          <a:ext cx="1200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416718</xdr:colOff>
      <xdr:row>3</xdr:row>
      <xdr:rowOff>70643</xdr:rowOff>
    </xdr:from>
    <xdr:to>
      <xdr:col>0</xdr:col>
      <xdr:colOff>2312193</xdr:colOff>
      <xdr:row>6</xdr:row>
      <xdr:rowOff>444500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8" y="642143"/>
          <a:ext cx="1895475" cy="977107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0</xdr:row>
      <xdr:rowOff>166687</xdr:rowOff>
    </xdr:from>
    <xdr:to>
      <xdr:col>9</xdr:col>
      <xdr:colOff>58451</xdr:colOff>
      <xdr:row>5</xdr:row>
      <xdr:rowOff>32167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8175" y="166687"/>
          <a:ext cx="829976" cy="856080"/>
        </a:xfrm>
        <a:prstGeom prst="rect">
          <a:avLst/>
        </a:prstGeom>
      </xdr:spPr>
    </xdr:pic>
    <xdr:clientData/>
  </xdr:twoCellAnchor>
  <xdr:twoCellAnchor>
    <xdr:from>
      <xdr:col>1</xdr:col>
      <xdr:colOff>447676</xdr:colOff>
      <xdr:row>6</xdr:row>
      <xdr:rowOff>466725</xdr:rowOff>
    </xdr:from>
    <xdr:to>
      <xdr:col>6</xdr:col>
      <xdr:colOff>76201</xdr:colOff>
      <xdr:row>7</xdr:row>
      <xdr:rowOff>352425</xdr:rowOff>
    </xdr:to>
    <xdr:sp macro="" textlink="">
      <xdr:nvSpPr>
        <xdr:cNvPr id="20" name="TextBox 19"/>
        <xdr:cNvSpPr txBox="1"/>
      </xdr:nvSpPr>
      <xdr:spPr>
        <a:xfrm>
          <a:off x="3762376" y="1647825"/>
          <a:ext cx="32004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Система Моно</a:t>
          </a:r>
        </a:p>
      </xdr:txBody>
    </xdr:sp>
    <xdr:clientData/>
  </xdr:twoCellAnchor>
  <xdr:twoCellAnchor>
    <xdr:from>
      <xdr:col>0</xdr:col>
      <xdr:colOff>2238375</xdr:colOff>
      <xdr:row>41</xdr:row>
      <xdr:rowOff>152400</xdr:rowOff>
    </xdr:from>
    <xdr:to>
      <xdr:col>6</xdr:col>
      <xdr:colOff>333376</xdr:colOff>
      <xdr:row>43</xdr:row>
      <xdr:rowOff>152400</xdr:rowOff>
    </xdr:to>
    <xdr:sp macro="" textlink="">
      <xdr:nvSpPr>
        <xdr:cNvPr id="21" name="TextBox 20"/>
        <xdr:cNvSpPr txBox="1"/>
      </xdr:nvSpPr>
      <xdr:spPr>
        <a:xfrm>
          <a:off x="2238375" y="8048625"/>
          <a:ext cx="4981576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       Система Термо с изоляцией 30 мм.         </a:t>
          </a:r>
        </a:p>
      </xdr:txBody>
    </xdr:sp>
    <xdr:clientData/>
  </xdr:twoCellAnchor>
  <xdr:twoCellAnchor>
    <xdr:from>
      <xdr:col>0</xdr:col>
      <xdr:colOff>2952750</xdr:colOff>
      <xdr:row>0</xdr:row>
      <xdr:rowOff>133351</xdr:rowOff>
    </xdr:from>
    <xdr:to>
      <xdr:col>7</xdr:col>
      <xdr:colOff>95250</xdr:colOff>
      <xdr:row>3</xdr:row>
      <xdr:rowOff>133351</xdr:rowOff>
    </xdr:to>
    <xdr:sp macro="" textlink="">
      <xdr:nvSpPr>
        <xdr:cNvPr id="25" name="TextBox 24"/>
        <xdr:cNvSpPr txBox="1"/>
      </xdr:nvSpPr>
      <xdr:spPr>
        <a:xfrm>
          <a:off x="2952750" y="133351"/>
          <a:ext cx="461010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latin typeface="Arial Narrow" panose="020B0606020202030204" pitchFamily="34" charset="0"/>
            </a:rPr>
            <a:t>Дымоходы ТиС Промо</a:t>
          </a:r>
          <a:endParaRPr lang="ru-RU" sz="2000" b="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86</xdr:row>
      <xdr:rowOff>47626</xdr:rowOff>
    </xdr:from>
    <xdr:to>
      <xdr:col>9</xdr:col>
      <xdr:colOff>314325</xdr:colOff>
      <xdr:row>94</xdr:row>
      <xdr:rowOff>143784</xdr:rowOff>
    </xdr:to>
    <xdr:pic>
      <xdr:nvPicPr>
        <xdr:cNvPr id="27" name="Рисунок 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14" b="559"/>
        <a:stretch/>
      </xdr:blipFill>
      <xdr:spPr bwMode="auto">
        <a:xfrm>
          <a:off x="0" y="16516351"/>
          <a:ext cx="9344025" cy="1391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2762250</xdr:colOff>
      <xdr:row>3</xdr:row>
      <xdr:rowOff>95250</xdr:rowOff>
    </xdr:from>
    <xdr:to>
      <xdr:col>5</xdr:col>
      <xdr:colOff>648893</xdr:colOff>
      <xdr:row>6</xdr:row>
      <xdr:rowOff>381351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666750"/>
          <a:ext cx="4058843" cy="8957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1438275</xdr:colOff>
      <xdr:row>73</xdr:row>
      <xdr:rowOff>0</xdr:rowOff>
    </xdr:from>
    <xdr:ext cx="771525" cy="381000"/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609600" y="12306300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1333500</xdr:colOff>
      <xdr:row>73</xdr:row>
      <xdr:rowOff>0</xdr:rowOff>
    </xdr:from>
    <xdr:ext cx="1200150" cy="194821"/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09600" y="12306300"/>
          <a:ext cx="1200150" cy="194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ru-RU"/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771525" cy="381000"/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536746" y="12306300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464911</xdr:colOff>
      <xdr:row>4</xdr:row>
      <xdr:rowOff>114752</xdr:rowOff>
    </xdr:from>
    <xdr:ext cx="864333" cy="889252"/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7286" y="845002"/>
          <a:ext cx="864333" cy="889252"/>
        </a:xfrm>
        <a:prstGeom prst="rect">
          <a:avLst/>
        </a:prstGeom>
      </xdr:spPr>
    </xdr:pic>
    <xdr:clientData/>
  </xdr:oneCellAnchor>
  <xdr:twoCellAnchor>
    <xdr:from>
      <xdr:col>0</xdr:col>
      <xdr:colOff>244930</xdr:colOff>
      <xdr:row>6</xdr:row>
      <xdr:rowOff>123825</xdr:rowOff>
    </xdr:from>
    <xdr:to>
      <xdr:col>0</xdr:col>
      <xdr:colOff>2066926</xdr:colOff>
      <xdr:row>6</xdr:row>
      <xdr:rowOff>542925</xdr:rowOff>
    </xdr:to>
    <xdr:sp macro="" textlink="">
      <xdr:nvSpPr>
        <xdr:cNvPr id="6" name="TextBox 5"/>
        <xdr:cNvSpPr txBox="1"/>
      </xdr:nvSpPr>
      <xdr:spPr>
        <a:xfrm>
          <a:off x="244930" y="1321254"/>
          <a:ext cx="1821996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Система Моно</a:t>
          </a:r>
        </a:p>
      </xdr:txBody>
    </xdr:sp>
    <xdr:clientData/>
  </xdr:twoCellAnchor>
  <xdr:twoCellAnchor>
    <xdr:from>
      <xdr:col>0</xdr:col>
      <xdr:colOff>0</xdr:colOff>
      <xdr:row>40</xdr:row>
      <xdr:rowOff>9525</xdr:rowOff>
    </xdr:from>
    <xdr:to>
      <xdr:col>1</xdr:col>
      <xdr:colOff>0</xdr:colOff>
      <xdr:row>41</xdr:row>
      <xdr:rowOff>57958</xdr:rowOff>
    </xdr:to>
    <xdr:sp macro="" textlink="">
      <xdr:nvSpPr>
        <xdr:cNvPr id="7" name="TextBox 6"/>
        <xdr:cNvSpPr txBox="1"/>
      </xdr:nvSpPr>
      <xdr:spPr>
        <a:xfrm>
          <a:off x="0" y="6486525"/>
          <a:ext cx="1456358" cy="210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0">
              <a:latin typeface="Arial Narrow" panose="020B0606020202030204" pitchFamily="34" charset="0"/>
            </a:rPr>
            <a:t>       Система Термо с изоляцией 50 мм.         </a:t>
          </a:r>
        </a:p>
      </xdr:txBody>
    </xdr:sp>
    <xdr:clientData/>
  </xdr:twoCellAnchor>
  <xdr:twoCellAnchor>
    <xdr:from>
      <xdr:col>0</xdr:col>
      <xdr:colOff>2886075</xdr:colOff>
      <xdr:row>1</xdr:row>
      <xdr:rowOff>163286</xdr:rowOff>
    </xdr:from>
    <xdr:to>
      <xdr:col>2</xdr:col>
      <xdr:colOff>1292679</xdr:colOff>
      <xdr:row>4</xdr:row>
      <xdr:rowOff>112059</xdr:rowOff>
    </xdr:to>
    <xdr:sp macro="" textlink="">
      <xdr:nvSpPr>
        <xdr:cNvPr id="8" name="TextBox 7"/>
        <xdr:cNvSpPr txBox="1"/>
      </xdr:nvSpPr>
      <xdr:spPr>
        <a:xfrm>
          <a:off x="2886075" y="353786"/>
          <a:ext cx="4356928" cy="4866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latin typeface="Arial Narrow" panose="020B0606020202030204" pitchFamily="34" charset="0"/>
            </a:rPr>
            <a:t>Дымоходы ТиС Энерго</a:t>
          </a:r>
          <a:endParaRPr lang="ru-RU" sz="2000" b="0">
            <a:latin typeface="Arial Narrow" panose="020B0606020202030204" pitchFamily="34" charset="0"/>
          </a:endParaRPr>
        </a:p>
      </xdr:txBody>
    </xdr:sp>
    <xdr:clientData/>
  </xdr:twoCellAnchor>
  <xdr:oneCellAnchor>
    <xdr:from>
      <xdr:col>0</xdr:col>
      <xdr:colOff>0</xdr:colOff>
      <xdr:row>73</xdr:row>
      <xdr:rowOff>142875</xdr:rowOff>
    </xdr:from>
    <xdr:ext cx="9333139" cy="1162050"/>
    <xdr:pic>
      <xdr:nvPicPr>
        <xdr:cNvPr id="9" name="Рисунок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86" b="9737"/>
        <a:stretch/>
      </xdr:blipFill>
      <xdr:spPr bwMode="auto">
        <a:xfrm>
          <a:off x="0" y="12449175"/>
          <a:ext cx="9333139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106589</xdr:colOff>
      <xdr:row>1</xdr:row>
      <xdr:rowOff>149678</xdr:rowOff>
    </xdr:from>
    <xdr:ext cx="1607911" cy="1005570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9" y="340178"/>
          <a:ext cx="1607911" cy="1005570"/>
        </a:xfrm>
        <a:prstGeom prst="rect">
          <a:avLst/>
        </a:prstGeom>
      </xdr:spPr>
    </xdr:pic>
    <xdr:clientData/>
  </xdr:oneCellAnchor>
  <xdr:oneCellAnchor>
    <xdr:from>
      <xdr:col>0</xdr:col>
      <xdr:colOff>1981200</xdr:colOff>
      <xdr:row>4</xdr:row>
      <xdr:rowOff>163252</xdr:rowOff>
    </xdr:from>
    <xdr:ext cx="5883727" cy="1006962"/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98038"/>
          <a:ext cx="5883727" cy="1006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811895</xdr:colOff>
      <xdr:row>1</xdr:row>
      <xdr:rowOff>47991</xdr:rowOff>
    </xdr:from>
    <xdr:ext cx="2381250" cy="352057"/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9145" y="238491"/>
          <a:ext cx="2381250" cy="352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619125</xdr:rowOff>
    </xdr:from>
    <xdr:to>
      <xdr:col>13</xdr:col>
      <xdr:colOff>38100</xdr:colOff>
      <xdr:row>74</xdr:row>
      <xdr:rowOff>9526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1400"/>
          <a:ext cx="80105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522053</xdr:colOff>
      <xdr:row>0</xdr:row>
      <xdr:rowOff>152400</xdr:rowOff>
    </xdr:from>
    <xdr:to>
      <xdr:col>10</xdr:col>
      <xdr:colOff>160536</xdr:colOff>
      <xdr:row>4</xdr:row>
      <xdr:rowOff>171450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3628" y="152400"/>
          <a:ext cx="800533" cy="819150"/>
        </a:xfrm>
        <a:prstGeom prst="rect">
          <a:avLst/>
        </a:prstGeom>
      </xdr:spPr>
    </xdr:pic>
    <xdr:clientData/>
  </xdr:twoCellAnchor>
  <xdr:twoCellAnchor>
    <xdr:from>
      <xdr:col>2</xdr:col>
      <xdr:colOff>400050</xdr:colOff>
      <xdr:row>0</xdr:row>
      <xdr:rowOff>160522</xdr:rowOff>
    </xdr:from>
    <xdr:to>
      <xdr:col>8</xdr:col>
      <xdr:colOff>466725</xdr:colOff>
      <xdr:row>4</xdr:row>
      <xdr:rowOff>150997</xdr:rowOff>
    </xdr:to>
    <xdr:sp macro="" textlink="">
      <xdr:nvSpPr>
        <xdr:cNvPr id="6" name="TextBox 5"/>
        <xdr:cNvSpPr txBox="1"/>
      </xdr:nvSpPr>
      <xdr:spPr>
        <a:xfrm>
          <a:off x="1895475" y="160522"/>
          <a:ext cx="355282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0">
              <a:latin typeface="Arial Narrow" panose="020B0606020202030204" pitchFamily="34" charset="0"/>
            </a:rPr>
            <a:t>Адаптеры и переходы для Систем</a:t>
          </a:r>
          <a:r>
            <a:rPr lang="ru-RU" sz="2000" b="0" baseline="0">
              <a:latin typeface="Arial Narrow" panose="020B0606020202030204" pitchFamily="34" charset="0"/>
            </a:rPr>
            <a:t> ТиС Стандарт и ТиС Промо</a:t>
          </a:r>
          <a:endParaRPr lang="ru-RU" sz="2000" b="0">
            <a:latin typeface="Arial Narrow" panose="020B0606020202030204" pitchFamily="34" charset="0"/>
          </a:endParaRPr>
        </a:p>
        <a:p>
          <a:endParaRPr lang="ru-RU" sz="2000" b="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142876</xdr:colOff>
      <xdr:row>1</xdr:row>
      <xdr:rowOff>57150</xdr:rowOff>
    </xdr:from>
    <xdr:to>
      <xdr:col>2</xdr:col>
      <xdr:colOff>317501</xdr:colOff>
      <xdr:row>5</xdr:row>
      <xdr:rowOff>95250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47650"/>
          <a:ext cx="1682750" cy="83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showGridLines="0" workbookViewId="0">
      <selection activeCell="E7" sqref="E7"/>
    </sheetView>
  </sheetViews>
  <sheetFormatPr defaultRowHeight="33" x14ac:dyDescent="0.2"/>
  <cols>
    <col min="5" max="5" width="34.5703125" customWidth="1"/>
    <col min="6" max="6" width="21.7109375" customWidth="1"/>
    <col min="7" max="7" width="3.28515625" style="27" customWidth="1"/>
    <col min="8" max="8" width="9.140625" style="27"/>
    <col min="9" max="9" width="2.140625" style="27" customWidth="1"/>
    <col min="10" max="16384" width="9.140625" style="27"/>
  </cols>
  <sheetData>
    <row r="2" spans="1:6" x14ac:dyDescent="0.4">
      <c r="A2" s="76"/>
    </row>
    <row r="6" spans="1:6" x14ac:dyDescent="0.2">
      <c r="E6" s="154" t="s">
        <v>234</v>
      </c>
    </row>
    <row r="7" spans="1:6" x14ac:dyDescent="0.25">
      <c r="A7" s="75" t="s">
        <v>110</v>
      </c>
      <c r="B7" s="75"/>
    </row>
    <row r="8" spans="1:6" x14ac:dyDescent="0.25">
      <c r="A8" s="75" t="s">
        <v>111</v>
      </c>
      <c r="B8" s="75"/>
      <c r="C8" s="4"/>
      <c r="D8" s="4"/>
      <c r="E8" s="4"/>
      <c r="F8" s="4"/>
    </row>
    <row r="9" spans="1:6" x14ac:dyDescent="0.25">
      <c r="A9" s="75" t="s">
        <v>108</v>
      </c>
      <c r="B9" s="75"/>
      <c r="C9" s="4"/>
      <c r="D9" s="4"/>
      <c r="E9" s="4"/>
      <c r="F9" s="4"/>
    </row>
    <row r="10" spans="1:6" ht="12.75" customHeight="1" thickBot="1" x14ac:dyDescent="0.3">
      <c r="A10" s="27"/>
      <c r="B10" s="74"/>
      <c r="C10" s="74"/>
      <c r="D10" s="74"/>
      <c r="E10" s="74"/>
      <c r="F10" s="74"/>
    </row>
    <row r="11" spans="1:6" ht="49.5" customHeight="1" thickBot="1" x14ac:dyDescent="0.25">
      <c r="A11" s="692" t="s">
        <v>109</v>
      </c>
      <c r="B11" s="693"/>
      <c r="C11" s="693"/>
      <c r="D11" s="693"/>
      <c r="E11" s="694"/>
      <c r="F11" s="82"/>
    </row>
  </sheetData>
  <mergeCells count="1">
    <mergeCell ref="A11:E11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workbookViewId="0">
      <selection activeCell="B15" sqref="B15"/>
    </sheetView>
  </sheetViews>
  <sheetFormatPr defaultRowHeight="12.75" x14ac:dyDescent="0.2"/>
  <cols>
    <col min="1" max="1" width="79.85546875" customWidth="1"/>
    <col min="2" max="2" width="26.140625" customWidth="1"/>
    <col min="3" max="3" width="6.85546875" customWidth="1"/>
    <col min="4" max="4" width="9.140625" customWidth="1"/>
    <col min="5" max="5" width="3.7109375" customWidth="1"/>
    <col min="6" max="6" width="9.140625" customWidth="1"/>
    <col min="7" max="7" width="3.42578125" customWidth="1"/>
    <col min="8" max="8" width="7.140625" customWidth="1"/>
  </cols>
  <sheetData>
    <row r="1" spans="1:13" ht="15" x14ac:dyDescent="0.25">
      <c r="A1" s="1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x14ac:dyDescent="0.25">
      <c r="A2" s="1"/>
      <c r="B2" s="796"/>
      <c r="C2" s="696"/>
      <c r="D2" s="696"/>
      <c r="E2" s="696"/>
      <c r="F2" s="696"/>
      <c r="G2" s="696"/>
      <c r="H2" s="696"/>
      <c r="I2" s="24"/>
      <c r="J2" s="24"/>
      <c r="K2" s="24"/>
      <c r="L2" s="24"/>
      <c r="M2" s="24"/>
    </row>
    <row r="3" spans="1:13" ht="24.75" customHeight="1" x14ac:dyDescent="0.25">
      <c r="A3" s="1"/>
      <c r="B3" s="696"/>
      <c r="C3" s="696"/>
      <c r="D3" s="696"/>
      <c r="E3" s="696"/>
      <c r="F3" s="696"/>
      <c r="G3" s="696"/>
      <c r="H3" s="696"/>
      <c r="I3" s="24"/>
      <c r="J3" s="24"/>
      <c r="K3" s="24"/>
      <c r="L3" s="24"/>
      <c r="M3" s="24"/>
    </row>
    <row r="4" spans="1:13" ht="18" x14ac:dyDescent="0.25">
      <c r="A4" s="3"/>
      <c r="B4" s="798"/>
      <c r="C4" s="799"/>
      <c r="D4" s="799"/>
      <c r="E4" s="799"/>
      <c r="F4" s="799"/>
      <c r="G4" s="799"/>
      <c r="H4" s="799"/>
      <c r="I4" s="24"/>
      <c r="J4" s="24"/>
      <c r="K4" s="24"/>
      <c r="L4" s="24"/>
      <c r="M4" s="24"/>
    </row>
    <row r="5" spans="1:13" ht="15" x14ac:dyDescent="0.25">
      <c r="A5" s="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5.75" thickBot="1" x14ac:dyDescent="0.3">
      <c r="A6" s="1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5" x14ac:dyDescent="0.2">
      <c r="A7" s="802" t="s">
        <v>140</v>
      </c>
      <c r="B7" s="152" t="s">
        <v>14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8" x14ac:dyDescent="0.25">
      <c r="A8" s="803"/>
      <c r="B8" s="153" t="s">
        <v>28</v>
      </c>
      <c r="C8" s="26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18" x14ac:dyDescent="0.25">
      <c r="A9" s="800" t="s">
        <v>141</v>
      </c>
      <c r="B9" s="801"/>
      <c r="C9" s="25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83" customFormat="1" ht="20.100000000000001" customHeight="1" x14ac:dyDescent="0.2">
      <c r="A10" s="198" t="s">
        <v>29</v>
      </c>
      <c r="B10" s="199">
        <f>667*(100%-'Установка скидки'!$F$11)</f>
        <v>667</v>
      </c>
      <c r="C10" s="200"/>
      <c r="D10" s="201"/>
      <c r="E10" s="201"/>
      <c r="F10" s="201"/>
      <c r="G10" s="201"/>
      <c r="H10" s="201"/>
      <c r="I10" s="201"/>
      <c r="J10" s="201"/>
      <c r="K10" s="201"/>
      <c r="L10" s="201"/>
      <c r="M10" s="201"/>
    </row>
    <row r="11" spans="1:13" s="183" customFormat="1" ht="20.100000000000001" customHeight="1" x14ac:dyDescent="0.2">
      <c r="A11" s="198" t="s">
        <v>30</v>
      </c>
      <c r="B11" s="199">
        <f>842*(100%-'Установка скидки'!$F$11)</f>
        <v>842</v>
      </c>
      <c r="C11" s="200"/>
      <c r="D11" s="201"/>
      <c r="E11" s="201"/>
      <c r="F11" s="201"/>
      <c r="G11" s="201"/>
      <c r="H11" s="201"/>
      <c r="I11" s="201"/>
      <c r="J11" s="201"/>
      <c r="K11" s="201"/>
      <c r="L11" s="201"/>
      <c r="M11" s="201"/>
    </row>
    <row r="12" spans="1:13" s="183" customFormat="1" ht="20.100000000000001" customHeight="1" x14ac:dyDescent="0.2">
      <c r="A12" s="198" t="s">
        <v>215</v>
      </c>
      <c r="B12" s="202">
        <f>1386*(100%-'Установка скидки'!$F$11)</f>
        <v>1386</v>
      </c>
      <c r="C12" s="200"/>
      <c r="D12" s="201"/>
      <c r="E12" s="201"/>
      <c r="F12" s="201"/>
      <c r="G12" s="201"/>
      <c r="H12" s="201"/>
      <c r="I12" s="201"/>
      <c r="J12" s="201"/>
      <c r="K12" s="201"/>
      <c r="L12" s="201"/>
      <c r="M12" s="201"/>
    </row>
    <row r="13" spans="1:13" s="183" customFormat="1" ht="20.100000000000001" customHeight="1" x14ac:dyDescent="0.2">
      <c r="A13" s="198" t="s">
        <v>216</v>
      </c>
      <c r="B13" s="202">
        <f>1550*(100%-'Установка скидки'!$F$11)</f>
        <v>1550</v>
      </c>
      <c r="C13" s="200"/>
      <c r="D13" s="201"/>
      <c r="E13" s="201"/>
      <c r="F13" s="201"/>
      <c r="G13" s="201"/>
      <c r="H13" s="201"/>
      <c r="I13" s="201"/>
      <c r="J13" s="201"/>
      <c r="K13" s="201"/>
      <c r="L13" s="201"/>
      <c r="M13" s="201"/>
    </row>
    <row r="14" spans="1:13" s="183" customFormat="1" ht="20.100000000000001" customHeight="1" x14ac:dyDescent="0.2">
      <c r="A14" s="198" t="s">
        <v>31</v>
      </c>
      <c r="B14" s="202">
        <f>1774*(100%-'Установка скидки'!$F$11)</f>
        <v>1774</v>
      </c>
      <c r="C14" s="200"/>
      <c r="D14" s="201"/>
      <c r="E14" s="201"/>
      <c r="F14" s="201"/>
      <c r="G14" s="201"/>
      <c r="H14" s="201"/>
      <c r="I14" s="201"/>
      <c r="J14" s="201"/>
      <c r="K14" s="201"/>
      <c r="L14" s="201"/>
      <c r="M14" s="201"/>
    </row>
    <row r="15" spans="1:13" s="183" customFormat="1" ht="20.100000000000001" customHeight="1" thickBot="1" x14ac:dyDescent="0.25">
      <c r="A15" s="203" t="s">
        <v>32</v>
      </c>
      <c r="B15" s="204">
        <f>945*(100%-'Установка скидки'!$F$11)</f>
        <v>945</v>
      </c>
      <c r="C15" s="200"/>
      <c r="D15" s="201"/>
      <c r="E15" s="201"/>
      <c r="F15" s="201"/>
      <c r="G15" s="201"/>
      <c r="H15" s="201"/>
      <c r="I15" s="201"/>
      <c r="J15" s="201"/>
      <c r="K15" s="201"/>
      <c r="L15" s="201"/>
      <c r="M15" s="201"/>
    </row>
    <row r="16" spans="1:13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">
      <c r="A17" s="65" t="s">
        <v>16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2">
      <c r="A18" s="65" t="s">
        <v>18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2">
      <c r="A19" s="65" t="s">
        <v>19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x14ac:dyDescent="0.2">
      <c r="A20" s="65" t="s">
        <v>22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51" customHeight="1" x14ac:dyDescent="0.2">
      <c r="A21" s="797" t="s">
        <v>217</v>
      </c>
      <c r="B21" s="79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2">
      <c r="B22" s="91"/>
      <c r="C22" s="91"/>
      <c r="D22" s="91"/>
      <c r="E22" s="91"/>
    </row>
    <row r="23" spans="1:13" x14ac:dyDescent="0.2">
      <c r="B23" s="91"/>
      <c r="C23" s="91"/>
      <c r="D23" s="91"/>
      <c r="E23" s="91"/>
    </row>
    <row r="24" spans="1:13" x14ac:dyDescent="0.2">
      <c r="B24" s="91"/>
      <c r="C24" s="91"/>
      <c r="D24" s="91"/>
      <c r="E24" s="91"/>
    </row>
    <row r="25" spans="1:13" x14ac:dyDescent="0.2">
      <c r="B25" s="91"/>
      <c r="C25" s="91"/>
      <c r="D25" s="91"/>
      <c r="E25" s="91"/>
    </row>
    <row r="26" spans="1:13" x14ac:dyDescent="0.2">
      <c r="B26" s="91"/>
      <c r="C26" s="91"/>
      <c r="D26" s="91"/>
      <c r="E26" s="91"/>
    </row>
    <row r="27" spans="1:13" x14ac:dyDescent="0.2">
      <c r="B27" s="91"/>
      <c r="C27" s="91"/>
      <c r="D27" s="91"/>
      <c r="E27" s="91"/>
    </row>
    <row r="28" spans="1:13" x14ac:dyDescent="0.2">
      <c r="B28" s="91"/>
      <c r="C28" s="91"/>
      <c r="D28" s="91"/>
      <c r="E28" s="91"/>
    </row>
    <row r="29" spans="1:13" x14ac:dyDescent="0.2">
      <c r="B29" s="91"/>
      <c r="C29" s="91"/>
      <c r="D29" s="91"/>
      <c r="E29" s="91"/>
    </row>
  </sheetData>
  <mergeCells count="5">
    <mergeCell ref="B2:H3"/>
    <mergeCell ref="A21:B21"/>
    <mergeCell ref="B4:H4"/>
    <mergeCell ref="A9:B9"/>
    <mergeCell ref="A7:A8"/>
  </mergeCells>
  <pageMargins left="0.7" right="0.7" top="0.75" bottom="0.75" header="0.3" footer="0.3"/>
  <pageSetup paperSize="9" scale="7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showGridLines="0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46" sqref="B46:Y46"/>
    </sheetView>
  </sheetViews>
  <sheetFormatPr defaultRowHeight="15" x14ac:dyDescent="0.25"/>
  <cols>
    <col min="1" max="1" width="48.5703125" style="257" customWidth="1"/>
    <col min="2" max="3" width="7" style="262" customWidth="1"/>
    <col min="4" max="4" width="6.5703125" style="263" customWidth="1"/>
    <col min="5" max="25" width="6.5703125" style="257" customWidth="1"/>
    <col min="26" max="16384" width="9.140625" style="257"/>
  </cols>
  <sheetData>
    <row r="1" spans="1:25" ht="15" customHeight="1" x14ac:dyDescent="0.2">
      <c r="A1" s="847"/>
      <c r="B1" s="847"/>
      <c r="C1" s="847"/>
      <c r="D1" s="847"/>
      <c r="E1" s="847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16"/>
      <c r="V1" s="16"/>
      <c r="W1" s="16"/>
      <c r="X1" s="16"/>
      <c r="Y1" s="16"/>
    </row>
    <row r="2" spans="1:25" ht="15" customHeight="1" x14ac:dyDescent="0.2">
      <c r="A2" s="847"/>
      <c r="B2" s="847"/>
      <c r="C2" s="847"/>
      <c r="D2" s="847"/>
      <c r="E2" s="847"/>
      <c r="F2" s="848"/>
      <c r="G2" s="848"/>
      <c r="H2" s="848"/>
      <c r="I2" s="848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16"/>
      <c r="V2" s="16"/>
      <c r="W2" s="16"/>
      <c r="X2" s="16"/>
      <c r="Y2" s="16"/>
    </row>
    <row r="3" spans="1:25" ht="15.75" customHeight="1" x14ac:dyDescent="0.2">
      <c r="A3" s="847"/>
      <c r="B3" s="847"/>
      <c r="C3" s="847"/>
      <c r="D3" s="847"/>
      <c r="E3" s="847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16"/>
      <c r="V3" s="16"/>
      <c r="W3" s="16"/>
      <c r="X3" s="16"/>
      <c r="Y3" s="16"/>
    </row>
    <row r="4" spans="1:25" ht="15" customHeight="1" x14ac:dyDescent="0.2">
      <c r="A4" s="847"/>
      <c r="B4" s="847"/>
      <c r="C4" s="847"/>
      <c r="D4" s="847"/>
      <c r="E4" s="847"/>
      <c r="F4" s="849"/>
      <c r="G4" s="849"/>
      <c r="H4" s="849"/>
      <c r="I4" s="849"/>
      <c r="J4" s="849"/>
      <c r="K4" s="849"/>
      <c r="L4" s="849"/>
      <c r="M4" s="849"/>
      <c r="N4" s="849"/>
      <c r="O4" s="849"/>
      <c r="P4" s="849"/>
      <c r="Q4" s="849"/>
      <c r="R4" s="849"/>
      <c r="S4" s="849"/>
      <c r="T4" s="849"/>
      <c r="U4" s="16"/>
      <c r="V4" s="16"/>
      <c r="W4" s="16"/>
      <c r="X4" s="16"/>
      <c r="Y4" s="16"/>
    </row>
    <row r="5" spans="1:25" ht="19.5" customHeight="1" x14ac:dyDescent="0.2">
      <c r="A5" s="847"/>
      <c r="B5" s="847"/>
      <c r="C5" s="847"/>
      <c r="D5" s="847"/>
      <c r="E5" s="847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16"/>
      <c r="V5" s="16"/>
      <c r="W5" s="16"/>
      <c r="X5" s="16"/>
      <c r="Y5" s="16"/>
    </row>
    <row r="6" spans="1:25" ht="15" customHeight="1" x14ac:dyDescent="0.2">
      <c r="A6" s="850"/>
      <c r="B6" s="850"/>
      <c r="C6" s="850"/>
      <c r="D6" s="850"/>
      <c r="E6" s="850"/>
      <c r="F6" s="850"/>
      <c r="G6" s="850"/>
      <c r="H6" s="850"/>
      <c r="I6" s="850"/>
      <c r="J6" s="850"/>
      <c r="K6" s="66"/>
      <c r="L6" s="66"/>
      <c r="M6" s="66"/>
      <c r="N6" s="66"/>
      <c r="O6" s="66"/>
      <c r="P6" s="66"/>
      <c r="Q6" s="66"/>
      <c r="R6" s="66"/>
      <c r="S6" s="66"/>
      <c r="T6" s="66"/>
      <c r="U6" s="16"/>
      <c r="V6" s="16"/>
      <c r="W6" s="16"/>
      <c r="X6" s="16"/>
      <c r="Y6" s="16"/>
    </row>
    <row r="7" spans="1:25" ht="1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21" customHeight="1" x14ac:dyDescent="0.2">
      <c r="A8" s="851" t="s">
        <v>112</v>
      </c>
      <c r="B8" s="852"/>
      <c r="C8" s="852"/>
      <c r="D8" s="852"/>
      <c r="E8" s="852"/>
      <c r="F8" s="852"/>
      <c r="G8" s="852"/>
      <c r="H8" s="852"/>
      <c r="I8" s="852"/>
      <c r="J8" s="852"/>
      <c r="K8" s="852"/>
      <c r="L8" s="852"/>
      <c r="M8" s="852"/>
      <c r="N8" s="852"/>
      <c r="O8" s="852"/>
      <c r="P8" s="852"/>
      <c r="Q8" s="852"/>
      <c r="R8" s="852"/>
      <c r="S8" s="852"/>
      <c r="T8" s="852"/>
      <c r="U8" s="852"/>
      <c r="V8" s="852"/>
      <c r="W8" s="852"/>
      <c r="X8" s="852"/>
      <c r="Y8" s="852"/>
    </row>
    <row r="9" spans="1:25" x14ac:dyDescent="0.2">
      <c r="A9" s="377" t="s">
        <v>37</v>
      </c>
      <c r="B9" s="378">
        <v>80</v>
      </c>
      <c r="C9" s="378">
        <v>100</v>
      </c>
      <c r="D9" s="378">
        <v>110</v>
      </c>
      <c r="E9" s="378">
        <v>115</v>
      </c>
      <c r="F9" s="378">
        <v>120</v>
      </c>
      <c r="G9" s="378">
        <v>125</v>
      </c>
      <c r="H9" s="378">
        <v>130</v>
      </c>
      <c r="I9" s="378">
        <v>135</v>
      </c>
      <c r="J9" s="378">
        <v>140</v>
      </c>
      <c r="K9" s="378">
        <v>150</v>
      </c>
      <c r="L9" s="378">
        <v>160</v>
      </c>
      <c r="M9" s="378">
        <v>180</v>
      </c>
      <c r="N9" s="378">
        <v>190</v>
      </c>
      <c r="O9" s="378">
        <v>200</v>
      </c>
      <c r="P9" s="378">
        <v>210</v>
      </c>
      <c r="Q9" s="378">
        <v>220</v>
      </c>
      <c r="R9" s="378">
        <v>230</v>
      </c>
      <c r="S9" s="378">
        <v>240</v>
      </c>
      <c r="T9" s="378">
        <v>250</v>
      </c>
      <c r="U9" s="378">
        <v>260</v>
      </c>
      <c r="V9" s="378">
        <v>280</v>
      </c>
      <c r="W9" s="378">
        <v>300</v>
      </c>
      <c r="X9" s="378">
        <v>310</v>
      </c>
      <c r="Y9" s="378">
        <v>350</v>
      </c>
    </row>
    <row r="10" spans="1:25" ht="12.75" x14ac:dyDescent="0.2">
      <c r="A10" s="502" t="s">
        <v>183</v>
      </c>
      <c r="B10" s="853">
        <f>700*(100%-'Установка скидки'!$F$11)</f>
        <v>700</v>
      </c>
      <c r="C10" s="854"/>
      <c r="D10" s="854"/>
      <c r="E10" s="854"/>
      <c r="F10" s="854"/>
      <c r="G10" s="854"/>
      <c r="H10" s="854"/>
      <c r="I10" s="854"/>
      <c r="J10" s="854"/>
      <c r="K10" s="854"/>
      <c r="L10" s="854"/>
      <c r="M10" s="854"/>
      <c r="N10" s="854"/>
      <c r="O10" s="854"/>
      <c r="P10" s="854"/>
      <c r="Q10" s="854"/>
      <c r="R10" s="854"/>
      <c r="S10" s="854"/>
      <c r="T10" s="854"/>
      <c r="U10" s="854"/>
      <c r="V10" s="854"/>
      <c r="W10" s="854"/>
      <c r="X10" s="854"/>
      <c r="Y10" s="854"/>
    </row>
    <row r="11" spans="1:25" ht="12.75" x14ac:dyDescent="0.2">
      <c r="A11" s="502" t="s">
        <v>42</v>
      </c>
      <c r="B11" s="828">
        <f>1030*(100%-'Установка скидки'!$F$11)</f>
        <v>1030</v>
      </c>
      <c r="C11" s="828"/>
      <c r="D11" s="822"/>
      <c r="E11" s="822"/>
      <c r="F11" s="822"/>
      <c r="G11" s="822"/>
      <c r="H11" s="822"/>
      <c r="I11" s="822"/>
      <c r="J11" s="822"/>
      <c r="K11" s="822"/>
      <c r="L11" s="822"/>
      <c r="M11" s="822"/>
      <c r="N11" s="822"/>
      <c r="O11" s="822"/>
      <c r="P11" s="822"/>
      <c r="Q11" s="822"/>
      <c r="R11" s="822"/>
      <c r="S11" s="822"/>
      <c r="T11" s="822"/>
      <c r="U11" s="822"/>
      <c r="V11" s="822"/>
      <c r="W11" s="822"/>
      <c r="X11" s="822"/>
      <c r="Y11" s="822"/>
    </row>
    <row r="12" spans="1:25" ht="12.75" x14ac:dyDescent="0.2">
      <c r="A12" s="502" t="s">
        <v>40</v>
      </c>
      <c r="B12" s="828">
        <f>2300*(100%-'Установка скидки'!$F$11)</f>
        <v>2300</v>
      </c>
      <c r="C12" s="828"/>
      <c r="D12" s="822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22"/>
      <c r="T12" s="822"/>
      <c r="U12" s="822"/>
      <c r="V12" s="822"/>
      <c r="W12" s="822"/>
      <c r="X12" s="822"/>
      <c r="Y12" s="822"/>
    </row>
    <row r="13" spans="1:25" ht="12.75" x14ac:dyDescent="0.2">
      <c r="A13" s="502" t="s">
        <v>41</v>
      </c>
      <c r="B13" s="828">
        <f>3050*(100%-'Установка скидки'!$F$11)</f>
        <v>3050</v>
      </c>
      <c r="C13" s="828"/>
      <c r="D13" s="822"/>
      <c r="E13" s="822"/>
      <c r="F13" s="822"/>
      <c r="G13" s="822"/>
      <c r="H13" s="822"/>
      <c r="I13" s="822"/>
      <c r="J13" s="822"/>
      <c r="K13" s="822"/>
      <c r="L13" s="822"/>
      <c r="M13" s="822"/>
      <c r="N13" s="822"/>
      <c r="O13" s="822"/>
      <c r="P13" s="822"/>
      <c r="Q13" s="822"/>
      <c r="R13" s="822"/>
      <c r="S13" s="822"/>
      <c r="T13" s="822"/>
      <c r="U13" s="822"/>
      <c r="V13" s="822"/>
      <c r="W13" s="822"/>
      <c r="X13" s="822"/>
      <c r="Y13" s="822"/>
    </row>
    <row r="14" spans="1:25" ht="25.5" x14ac:dyDescent="0.2">
      <c r="A14" s="503" t="s">
        <v>39</v>
      </c>
      <c r="B14" s="867">
        <f>1995*(100%-'Установка скидки'!$F$11)</f>
        <v>1995</v>
      </c>
      <c r="C14" s="867"/>
      <c r="D14" s="867"/>
      <c r="E14" s="867"/>
      <c r="F14" s="867"/>
      <c r="G14" s="867"/>
      <c r="H14" s="867"/>
      <c r="I14" s="867"/>
      <c r="J14" s="867"/>
      <c r="K14" s="867"/>
      <c r="L14" s="867"/>
      <c r="M14" s="867"/>
      <c r="N14" s="867"/>
      <c r="O14" s="867"/>
      <c r="P14" s="867"/>
      <c r="Q14" s="867"/>
      <c r="R14" s="867"/>
      <c r="S14" s="867"/>
      <c r="T14" s="867"/>
      <c r="U14" s="867"/>
      <c r="V14" s="867"/>
      <c r="W14" s="867"/>
      <c r="X14" s="867"/>
      <c r="Y14" s="867"/>
    </row>
    <row r="15" spans="1:25" ht="12.75" x14ac:dyDescent="0.2">
      <c r="A15" s="502" t="s">
        <v>43</v>
      </c>
      <c r="B15" s="828">
        <f>2890*(100%-'Установка скидки'!$F$11)</f>
        <v>2890</v>
      </c>
      <c r="C15" s="828"/>
      <c r="D15" s="822"/>
      <c r="E15" s="822"/>
      <c r="F15" s="822"/>
      <c r="G15" s="822"/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22"/>
      <c r="S15" s="822"/>
      <c r="T15" s="822"/>
      <c r="U15" s="822"/>
      <c r="V15" s="822"/>
      <c r="W15" s="822"/>
      <c r="X15" s="822"/>
      <c r="Y15" s="822"/>
    </row>
    <row r="16" spans="1:25" ht="12.75" x14ac:dyDescent="0.2">
      <c r="A16" s="502" t="s">
        <v>44</v>
      </c>
      <c r="B16" s="828">
        <f>3770*(100%-'Установка скидки'!$F$11)</f>
        <v>3770</v>
      </c>
      <c r="C16" s="828"/>
      <c r="D16" s="822"/>
      <c r="E16" s="822"/>
      <c r="F16" s="822"/>
      <c r="G16" s="822"/>
      <c r="H16" s="822"/>
      <c r="I16" s="822"/>
      <c r="J16" s="822"/>
      <c r="K16" s="822"/>
      <c r="L16" s="822"/>
      <c r="M16" s="822"/>
      <c r="N16" s="822"/>
      <c r="O16" s="822"/>
      <c r="P16" s="822"/>
      <c r="Q16" s="822"/>
      <c r="R16" s="822"/>
      <c r="S16" s="822"/>
      <c r="T16" s="822"/>
      <c r="U16" s="822"/>
      <c r="V16" s="822"/>
      <c r="W16" s="822"/>
      <c r="X16" s="822"/>
      <c r="Y16" s="822"/>
    </row>
    <row r="17" spans="1:25" ht="12.75" x14ac:dyDescent="0.2">
      <c r="A17" s="502" t="s">
        <v>45</v>
      </c>
      <c r="B17" s="836">
        <f>4400*(100%-'Установка скидки'!$F$11)</f>
        <v>4400</v>
      </c>
      <c r="C17" s="836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7"/>
      <c r="O17" s="837"/>
      <c r="P17" s="837"/>
      <c r="Q17" s="837"/>
      <c r="R17" s="837"/>
      <c r="S17" s="837"/>
      <c r="T17" s="837"/>
      <c r="U17" s="837"/>
      <c r="V17" s="837"/>
      <c r="W17" s="837"/>
      <c r="X17" s="837"/>
      <c r="Y17" s="822"/>
    </row>
    <row r="18" spans="1:25" ht="12.75" x14ac:dyDescent="0.2">
      <c r="A18" s="643" t="s">
        <v>46</v>
      </c>
      <c r="B18" s="630">
        <f>469*(100%-'Установка скидки'!$F$11)</f>
        <v>469</v>
      </c>
      <c r="C18" s="619">
        <f>483*(100%-'Установка скидки'!$F$11)</f>
        <v>483</v>
      </c>
      <c r="D18" s="689">
        <f>501*(100%-'Установка скидки'!$F$11)</f>
        <v>501</v>
      </c>
      <c r="E18" s="688">
        <f>501*(100%-'Установка скидки'!$F$11)</f>
        <v>501</v>
      </c>
      <c r="F18" s="841">
        <f>509*(100%-'Установка скидки'!$F$11)</f>
        <v>509</v>
      </c>
      <c r="G18" s="841"/>
      <c r="H18" s="842">
        <f>519*(100%-'Установка скидки'!$F$11)</f>
        <v>519</v>
      </c>
      <c r="I18" s="842"/>
      <c r="J18" s="619">
        <f>520*(100%-'Установка скидки'!$F$11)</f>
        <v>520</v>
      </c>
      <c r="K18" s="841">
        <f>544*(100%-'Установка скидки'!$F$11)</f>
        <v>544</v>
      </c>
      <c r="L18" s="841"/>
      <c r="M18" s="841">
        <f>569*(100%-'Установка скидки'!$F$11)</f>
        <v>569</v>
      </c>
      <c r="N18" s="841"/>
      <c r="O18" s="841">
        <f>619*(100%-'Установка скидки'!$F$11)</f>
        <v>619</v>
      </c>
      <c r="P18" s="841"/>
      <c r="Q18" s="841">
        <f>646*(100%-'Установка скидки'!$F$11)</f>
        <v>646</v>
      </c>
      <c r="R18" s="841"/>
      <c r="S18" s="620">
        <f>660*(100%-'Установка скидки'!$F$11)</f>
        <v>660</v>
      </c>
      <c r="T18" s="845">
        <f>845*(100%-'Установка скидки'!$F$11)</f>
        <v>845</v>
      </c>
      <c r="U18" s="846"/>
      <c r="V18" s="622">
        <f>941*(100%-'Установка скидки'!$F$11)</f>
        <v>941</v>
      </c>
      <c r="W18" s="843">
        <f>1003*(100%-'Установка скидки'!$F$11)</f>
        <v>1003</v>
      </c>
      <c r="X18" s="844"/>
      <c r="Y18" s="619">
        <f>1084*(100%-'Установка скидки'!$F$11)</f>
        <v>1084</v>
      </c>
    </row>
    <row r="19" spans="1:25" x14ac:dyDescent="0.2">
      <c r="A19" s="644" t="s">
        <v>61</v>
      </c>
      <c r="B19" s="630" t="s">
        <v>0</v>
      </c>
      <c r="C19" s="631" t="s">
        <v>0</v>
      </c>
      <c r="D19" s="645">
        <f>398*(100%-'Установка скидки'!$F$11)</f>
        <v>398</v>
      </c>
      <c r="E19" s="205" t="s">
        <v>0</v>
      </c>
      <c r="F19" s="569" t="s">
        <v>0</v>
      </c>
      <c r="G19" s="630" t="s">
        <v>0</v>
      </c>
      <c r="H19" s="642">
        <f>412*(100%-'Установка скидки'!$F$11)</f>
        <v>412</v>
      </c>
      <c r="I19" s="630" t="s">
        <v>0</v>
      </c>
      <c r="J19" s="569" t="s">
        <v>0</v>
      </c>
      <c r="K19" s="205" t="s">
        <v>0</v>
      </c>
      <c r="L19" s="205" t="s">
        <v>0</v>
      </c>
      <c r="M19" s="642">
        <f>442*(100%-'Установка скидки'!$F$11)</f>
        <v>442</v>
      </c>
      <c r="N19" s="630" t="s">
        <v>0</v>
      </c>
      <c r="O19" s="630" t="s">
        <v>0</v>
      </c>
      <c r="P19" s="205" t="s">
        <v>0</v>
      </c>
      <c r="Q19" s="642">
        <f>488*(100%-'Установка скидки'!$F$11)</f>
        <v>488</v>
      </c>
      <c r="R19" s="642">
        <f>499*(100%-'Установка скидки'!$F$11)</f>
        <v>499</v>
      </c>
      <c r="S19" s="205" t="s">
        <v>0</v>
      </c>
      <c r="T19" s="642">
        <f>519*(100%-'Установка скидки'!$F$11)</f>
        <v>519</v>
      </c>
      <c r="U19" s="205" t="s">
        <v>0</v>
      </c>
      <c r="V19" s="205" t="s">
        <v>0</v>
      </c>
      <c r="W19" s="569" t="s">
        <v>0</v>
      </c>
      <c r="X19" s="205" t="s">
        <v>0</v>
      </c>
      <c r="Y19" s="642">
        <f>837*(100%-'Установка скидки'!$F$11)</f>
        <v>837</v>
      </c>
    </row>
    <row r="20" spans="1:25" x14ac:dyDescent="0.2">
      <c r="A20" s="644" t="s">
        <v>62</v>
      </c>
      <c r="B20" s="205" t="s">
        <v>0</v>
      </c>
      <c r="C20" s="205" t="s">
        <v>0</v>
      </c>
      <c r="D20" s="645">
        <f>398*(100%-'Установка скидки'!$F$11)</f>
        <v>398</v>
      </c>
      <c r="E20" s="569" t="s">
        <v>0</v>
      </c>
      <c r="F20" s="642">
        <f>404*(100%-'Установка скидки'!$F$11)</f>
        <v>404</v>
      </c>
      <c r="G20" s="630" t="s">
        <v>0</v>
      </c>
      <c r="H20" s="205" t="s">
        <v>0</v>
      </c>
      <c r="I20" s="631" t="s">
        <v>0</v>
      </c>
      <c r="J20" s="205" t="s">
        <v>0</v>
      </c>
      <c r="K20" s="569" t="s">
        <v>0</v>
      </c>
      <c r="L20" s="630" t="s">
        <v>0</v>
      </c>
      <c r="M20" s="205" t="s">
        <v>0</v>
      </c>
      <c r="N20" s="569" t="s">
        <v>0</v>
      </c>
      <c r="O20" s="630" t="s">
        <v>0</v>
      </c>
      <c r="P20" s="205" t="s">
        <v>0</v>
      </c>
      <c r="Q20" s="205" t="s">
        <v>0</v>
      </c>
      <c r="R20" s="642">
        <f>499*(100%-'Установка скидки'!$F$11)</f>
        <v>499</v>
      </c>
      <c r="S20" s="569" t="s">
        <v>0</v>
      </c>
      <c r="T20" s="642">
        <f>519*(100%-'Установка скидки'!$F$11)</f>
        <v>519</v>
      </c>
      <c r="U20" s="630" t="s">
        <v>0</v>
      </c>
      <c r="V20" s="642">
        <f>727*(100%-'Установка скидки'!$F$11)</f>
        <v>727</v>
      </c>
      <c r="W20" s="642">
        <f>758*(100%-'Установка скидки'!$F$11)</f>
        <v>758</v>
      </c>
      <c r="X20" s="205" t="s">
        <v>0</v>
      </c>
      <c r="Y20" s="205" t="s">
        <v>0</v>
      </c>
    </row>
    <row r="21" spans="1:25" x14ac:dyDescent="0.2">
      <c r="A21" s="644" t="s">
        <v>63</v>
      </c>
      <c r="B21" s="645">
        <f>372*(100%-'Установка скидки'!$F$11)</f>
        <v>372</v>
      </c>
      <c r="C21" s="630" t="s">
        <v>0</v>
      </c>
      <c r="D21" s="205" t="s">
        <v>0</v>
      </c>
      <c r="E21" s="205" t="s">
        <v>0</v>
      </c>
      <c r="F21" s="642">
        <f>404*(100%-'Установка скидки'!$F$11)</f>
        <v>404</v>
      </c>
      <c r="G21" s="630" t="s">
        <v>0</v>
      </c>
      <c r="H21" s="205" t="s">
        <v>0</v>
      </c>
      <c r="I21" s="205" t="s">
        <v>0</v>
      </c>
      <c r="J21" s="205" t="s">
        <v>0</v>
      </c>
      <c r="K21" s="642">
        <f>417*(100%-'Установка скидки'!$F$11)</f>
        <v>417</v>
      </c>
      <c r="L21" s="630" t="s">
        <v>0</v>
      </c>
      <c r="M21" s="205" t="s">
        <v>0</v>
      </c>
      <c r="N21" s="642">
        <f>452*(100%-'Установка скидки'!$F$11)</f>
        <v>452</v>
      </c>
      <c r="O21" s="205" t="s">
        <v>0</v>
      </c>
      <c r="P21" s="205" t="s">
        <v>0</v>
      </c>
      <c r="Q21" s="630" t="s">
        <v>0</v>
      </c>
      <c r="R21" s="630" t="s">
        <v>0</v>
      </c>
      <c r="S21" s="205" t="s">
        <v>0</v>
      </c>
      <c r="T21" s="642">
        <f>519*(100%-'Установка скидки'!$F$11)</f>
        <v>519</v>
      </c>
      <c r="U21" s="569" t="s">
        <v>0</v>
      </c>
      <c r="V21" s="642">
        <f>727*(100%-'Установка скидки'!$F$11)</f>
        <v>727</v>
      </c>
      <c r="W21" s="642">
        <f>758*(100%-'Установка скидки'!$F$11)</f>
        <v>758</v>
      </c>
      <c r="X21" s="205" t="s">
        <v>0</v>
      </c>
      <c r="Y21" s="642">
        <f>837*(100%-'Установка скидки'!$F$11)</f>
        <v>837</v>
      </c>
    </row>
    <row r="22" spans="1:25" s="258" customFormat="1" ht="12.75" x14ac:dyDescent="0.2">
      <c r="A22" s="502" t="s">
        <v>47</v>
      </c>
      <c r="B22" s="838">
        <f>538*(100%-'Установка скидки'!$F$11)</f>
        <v>538</v>
      </c>
      <c r="C22" s="839"/>
      <c r="D22" s="840"/>
      <c r="E22" s="840"/>
      <c r="F22" s="840"/>
      <c r="G22" s="840"/>
      <c r="H22" s="840"/>
      <c r="I22" s="840"/>
      <c r="J22" s="840"/>
      <c r="K22" s="840"/>
      <c r="L22" s="840"/>
      <c r="M22" s="840"/>
      <c r="N22" s="840"/>
      <c r="O22" s="840"/>
      <c r="P22" s="840"/>
      <c r="Q22" s="840"/>
      <c r="R22" s="840"/>
      <c r="S22" s="840"/>
      <c r="T22" s="840"/>
      <c r="U22" s="840"/>
      <c r="V22" s="840"/>
      <c r="W22" s="840"/>
      <c r="X22" s="840"/>
      <c r="Y22" s="832"/>
    </row>
    <row r="23" spans="1:25" ht="12.75" x14ac:dyDescent="0.2">
      <c r="A23" s="502" t="s">
        <v>48</v>
      </c>
      <c r="B23" s="829">
        <f>938*(100%-'Установка скидки'!$F$11)</f>
        <v>938</v>
      </c>
      <c r="C23" s="830"/>
      <c r="D23" s="831"/>
      <c r="E23" s="831"/>
      <c r="F23" s="831"/>
      <c r="G23" s="831"/>
      <c r="H23" s="831"/>
      <c r="I23" s="831"/>
      <c r="J23" s="831"/>
      <c r="K23" s="831"/>
      <c r="L23" s="831"/>
      <c r="M23" s="831"/>
      <c r="N23" s="831"/>
      <c r="O23" s="831"/>
      <c r="P23" s="831"/>
      <c r="Q23" s="831"/>
      <c r="R23" s="831"/>
      <c r="S23" s="831"/>
      <c r="T23" s="831"/>
      <c r="U23" s="831"/>
      <c r="V23" s="831"/>
      <c r="W23" s="831"/>
      <c r="X23" s="831"/>
      <c r="Y23" s="832"/>
    </row>
    <row r="24" spans="1:25" s="258" customFormat="1" ht="25.5" x14ac:dyDescent="0.2">
      <c r="A24" s="503" t="s">
        <v>49</v>
      </c>
      <c r="B24" s="833">
        <f>1160*(100%-'Установка скидки'!$F$11)</f>
        <v>1160</v>
      </c>
      <c r="C24" s="834"/>
      <c r="D24" s="834"/>
      <c r="E24" s="834"/>
      <c r="F24" s="835"/>
      <c r="G24" s="833">
        <f>1160*(100%-'Установка скидки'!$F$11)</f>
        <v>1160</v>
      </c>
      <c r="H24" s="858"/>
      <c r="I24" s="858"/>
      <c r="J24" s="858"/>
      <c r="K24" s="859"/>
      <c r="L24" s="264" t="s">
        <v>0</v>
      </c>
      <c r="M24" s="833">
        <f>1160*(100%-'Установка скидки'!$F$11)</f>
        <v>1160</v>
      </c>
      <c r="N24" s="834"/>
      <c r="O24" s="834"/>
      <c r="P24" s="835"/>
      <c r="Q24" s="821">
        <f>1160*(100%-'Установка скидки'!$F$11)</f>
        <v>1160</v>
      </c>
      <c r="R24" s="821"/>
      <c r="S24" s="821"/>
      <c r="T24" s="821"/>
      <c r="U24" s="822"/>
      <c r="V24" s="823">
        <f>1160*(100%-'Установка скидки'!$F$11)</f>
        <v>1160</v>
      </c>
      <c r="W24" s="824"/>
      <c r="X24" s="825"/>
      <c r="Y24" s="331" t="s">
        <v>0</v>
      </c>
    </row>
    <row r="25" spans="1:25" s="258" customFormat="1" ht="25.5" x14ac:dyDescent="0.2">
      <c r="A25" s="503" t="s">
        <v>49</v>
      </c>
      <c r="B25" s="264" t="s">
        <v>0</v>
      </c>
      <c r="C25" s="264" t="s">
        <v>0</v>
      </c>
      <c r="D25" s="264" t="s">
        <v>0</v>
      </c>
      <c r="E25" s="264" t="s">
        <v>0</v>
      </c>
      <c r="F25" s="264" t="s">
        <v>0</v>
      </c>
      <c r="G25" s="264" t="s">
        <v>0</v>
      </c>
      <c r="H25" s="264" t="s">
        <v>0</v>
      </c>
      <c r="I25" s="264" t="s">
        <v>0</v>
      </c>
      <c r="J25" s="264" t="s">
        <v>0</v>
      </c>
      <c r="K25" s="834">
        <f>1160*(100%-'Установка скидки'!$F$11)</f>
        <v>1160</v>
      </c>
      <c r="L25" s="834"/>
      <c r="M25" s="824"/>
      <c r="N25" s="264" t="s">
        <v>0</v>
      </c>
      <c r="O25" s="264" t="s">
        <v>0</v>
      </c>
      <c r="P25" s="264" t="s">
        <v>0</v>
      </c>
      <c r="Q25" s="807">
        <f>1160*(100%-'Установка скидки'!$F$11)</f>
        <v>1160</v>
      </c>
      <c r="R25" s="808"/>
      <c r="S25" s="808"/>
      <c r="T25" s="809"/>
      <c r="U25" s="807">
        <f>1160*(100%-'Установка скидки'!$F$11)</f>
        <v>1160</v>
      </c>
      <c r="V25" s="808"/>
      <c r="W25" s="809"/>
      <c r="X25" s="264" t="s">
        <v>0</v>
      </c>
      <c r="Y25" s="264" t="s">
        <v>0</v>
      </c>
    </row>
    <row r="26" spans="1:25" x14ac:dyDescent="0.2">
      <c r="A26" s="504" t="s">
        <v>93</v>
      </c>
      <c r="B26" s="264" t="s">
        <v>0</v>
      </c>
      <c r="C26" s="205" t="s">
        <v>0</v>
      </c>
      <c r="D26" s="264" t="s">
        <v>0</v>
      </c>
      <c r="E26" s="264" t="s">
        <v>0</v>
      </c>
      <c r="F26" s="264" t="s">
        <v>0</v>
      </c>
      <c r="G26" s="205" t="s">
        <v>0</v>
      </c>
      <c r="H26" s="264" t="s">
        <v>0</v>
      </c>
      <c r="I26" s="264" t="s">
        <v>0</v>
      </c>
      <c r="J26" s="264" t="s">
        <v>0</v>
      </c>
      <c r="K26" s="264" t="s">
        <v>0</v>
      </c>
      <c r="L26" s="264"/>
      <c r="M26" s="264" t="s">
        <v>0</v>
      </c>
      <c r="N26" s="264" t="s">
        <v>0</v>
      </c>
      <c r="O26" s="264" t="s">
        <v>0</v>
      </c>
      <c r="P26" s="264" t="s">
        <v>0</v>
      </c>
      <c r="Q26" s="264" t="s">
        <v>0</v>
      </c>
      <c r="R26" s="264" t="s">
        <v>0</v>
      </c>
      <c r="S26" s="264" t="s">
        <v>0</v>
      </c>
      <c r="T26" s="264" t="s">
        <v>0</v>
      </c>
      <c r="U26" s="264" t="s">
        <v>0</v>
      </c>
      <c r="V26" s="264" t="s">
        <v>0</v>
      </c>
      <c r="W26" s="264" t="s">
        <v>0</v>
      </c>
      <c r="X26" s="264" t="s">
        <v>0</v>
      </c>
      <c r="Y26" s="545">
        <f>1890*(100%-'Установка скидки'!$F$11)</f>
        <v>1890</v>
      </c>
    </row>
    <row r="27" spans="1:25" ht="25.5" x14ac:dyDescent="0.2">
      <c r="A27" s="503" t="s">
        <v>9</v>
      </c>
      <c r="B27" s="833">
        <f>220*(100%-'Установка скидки'!$F$11)</f>
        <v>220</v>
      </c>
      <c r="C27" s="834"/>
      <c r="D27" s="834"/>
      <c r="E27" s="834"/>
      <c r="F27" s="834"/>
      <c r="G27" s="834"/>
      <c r="H27" s="834"/>
      <c r="I27" s="834"/>
      <c r="J27" s="834"/>
      <c r="K27" s="834"/>
      <c r="L27" s="834"/>
      <c r="M27" s="834"/>
      <c r="N27" s="834"/>
      <c r="O27" s="834"/>
      <c r="P27" s="834"/>
      <c r="Q27" s="834"/>
      <c r="R27" s="834"/>
      <c r="S27" s="834"/>
      <c r="T27" s="834"/>
      <c r="U27" s="834"/>
      <c r="V27" s="834"/>
      <c r="W27" s="834"/>
      <c r="X27" s="834"/>
      <c r="Y27" s="835"/>
    </row>
    <row r="28" spans="1:25" ht="12.75" x14ac:dyDescent="0.2">
      <c r="A28" s="503" t="s">
        <v>50</v>
      </c>
      <c r="B28" s="828">
        <f>1630*(100%-'Установка скидки'!$F$11)</f>
        <v>1630</v>
      </c>
      <c r="C28" s="828"/>
      <c r="D28" s="828"/>
      <c r="E28" s="828"/>
      <c r="F28" s="828"/>
      <c r="G28" s="860">
        <f>1870*(100%-'Установка скидки'!$F$11)</f>
        <v>1870</v>
      </c>
      <c r="H28" s="858"/>
      <c r="I28" s="858"/>
      <c r="J28" s="858"/>
      <c r="K28" s="859"/>
      <c r="L28" s="330" t="s">
        <v>0</v>
      </c>
      <c r="M28" s="828">
        <f>2450*(100%-'Установка скидки'!$F$11)</f>
        <v>2450</v>
      </c>
      <c r="N28" s="828"/>
      <c r="O28" s="828"/>
      <c r="P28" s="828"/>
      <c r="Q28" s="828">
        <f>2850*(100%-'Установка скидки'!$F$11)</f>
        <v>2850</v>
      </c>
      <c r="R28" s="828"/>
      <c r="S28" s="828"/>
      <c r="T28" s="828"/>
      <c r="U28" s="828">
        <f>3250*(100%-'Установка скидки'!$F$11)</f>
        <v>3250</v>
      </c>
      <c r="V28" s="828"/>
      <c r="W28" s="828"/>
      <c r="X28" s="330"/>
      <c r="Y28" s="330" t="s">
        <v>0</v>
      </c>
    </row>
    <row r="29" spans="1:25" x14ac:dyDescent="0.2">
      <c r="A29" s="504" t="s">
        <v>94</v>
      </c>
      <c r="B29" s="861" t="s">
        <v>0</v>
      </c>
      <c r="C29" s="862"/>
      <c r="D29" s="862"/>
      <c r="E29" s="862"/>
      <c r="F29" s="863"/>
      <c r="G29" s="332" t="s">
        <v>0</v>
      </c>
      <c r="H29" s="861" t="s">
        <v>0</v>
      </c>
      <c r="I29" s="862"/>
      <c r="J29" s="864"/>
      <c r="K29" s="865"/>
      <c r="L29" s="332" t="s">
        <v>0</v>
      </c>
      <c r="M29" s="866">
        <f>1895*(100%-'Установка скидки'!$F$11)</f>
        <v>1895</v>
      </c>
      <c r="N29" s="808"/>
      <c r="O29" s="808"/>
      <c r="P29" s="809"/>
      <c r="Q29" s="205" t="s">
        <v>0</v>
      </c>
      <c r="R29" s="205" t="s">
        <v>0</v>
      </c>
      <c r="S29" s="205" t="s">
        <v>0</v>
      </c>
      <c r="T29" s="205" t="s">
        <v>0</v>
      </c>
      <c r="U29" s="855" t="s">
        <v>0</v>
      </c>
      <c r="V29" s="856"/>
      <c r="W29" s="857"/>
      <c r="X29" s="205" t="s">
        <v>0</v>
      </c>
      <c r="Y29" s="205" t="s">
        <v>0</v>
      </c>
    </row>
    <row r="30" spans="1:25" x14ac:dyDescent="0.2">
      <c r="A30" s="504" t="s">
        <v>64</v>
      </c>
      <c r="B30" s="205" t="s">
        <v>0</v>
      </c>
      <c r="C30" s="205" t="s">
        <v>0</v>
      </c>
      <c r="D30" s="205" t="s">
        <v>0</v>
      </c>
      <c r="E30" s="205" t="s">
        <v>0</v>
      </c>
      <c r="F30" s="205" t="s">
        <v>0</v>
      </c>
      <c r="G30" s="205" t="s">
        <v>0</v>
      </c>
      <c r="H30" s="646">
        <f>1522*(100%-'Установка скидки'!$F$11)</f>
        <v>1522</v>
      </c>
      <c r="I30" s="330" t="s">
        <v>0</v>
      </c>
      <c r="J30" s="205" t="s">
        <v>0</v>
      </c>
      <c r="K30" s="646">
        <f>1522*(100%-'Установка скидки'!$F$11)</f>
        <v>1522</v>
      </c>
      <c r="L30" s="330" t="s">
        <v>0</v>
      </c>
      <c r="M30" s="205" t="s">
        <v>0</v>
      </c>
      <c r="N30" s="205" t="s">
        <v>0</v>
      </c>
      <c r="O30" s="205" t="s">
        <v>0</v>
      </c>
      <c r="P30" s="205" t="s">
        <v>0</v>
      </c>
      <c r="Q30" s="205" t="s">
        <v>0</v>
      </c>
      <c r="R30" s="205" t="s">
        <v>0</v>
      </c>
      <c r="S30" s="205" t="s">
        <v>0</v>
      </c>
      <c r="T30" s="205" t="s">
        <v>0</v>
      </c>
      <c r="U30" s="205" t="s">
        <v>0</v>
      </c>
      <c r="V30" s="205" t="s">
        <v>0</v>
      </c>
      <c r="W30" s="205" t="s">
        <v>0</v>
      </c>
      <c r="X30" s="205" t="s">
        <v>0</v>
      </c>
      <c r="Y30" s="205" t="s">
        <v>0</v>
      </c>
    </row>
    <row r="31" spans="1:25" s="258" customFormat="1" ht="12.75" x14ac:dyDescent="0.2">
      <c r="A31" s="502" t="s">
        <v>51</v>
      </c>
      <c r="B31" s="828">
        <f>2054*(100%-'Установка скидки'!$F$11)</f>
        <v>2054</v>
      </c>
      <c r="C31" s="828"/>
      <c r="D31" s="828"/>
      <c r="E31" s="828"/>
      <c r="F31" s="828"/>
      <c r="G31" s="330" t="s">
        <v>0</v>
      </c>
      <c r="H31" s="828">
        <f>2243*(100%-'Установка скидки'!$F$11)</f>
        <v>2243</v>
      </c>
      <c r="I31" s="828"/>
      <c r="J31" s="828"/>
      <c r="K31" s="828"/>
      <c r="L31" s="330" t="s">
        <v>0</v>
      </c>
      <c r="M31" s="828">
        <f>2588*(100%-'Установка скидки'!$F$11)</f>
        <v>2588</v>
      </c>
      <c r="N31" s="822"/>
      <c r="O31" s="822"/>
      <c r="P31" s="330" t="s">
        <v>0</v>
      </c>
      <c r="Q31" s="330" t="s">
        <v>0</v>
      </c>
      <c r="R31" s="330" t="s">
        <v>0</v>
      </c>
      <c r="S31" s="330" t="s">
        <v>0</v>
      </c>
      <c r="T31" s="818">
        <f>3110*(100%-'Установка скидки'!$F$11)</f>
        <v>3110</v>
      </c>
      <c r="U31" s="818"/>
      <c r="V31" s="818"/>
      <c r="W31" s="818"/>
      <c r="X31" s="330" t="s">
        <v>0</v>
      </c>
      <c r="Y31" s="330" t="s">
        <v>0</v>
      </c>
    </row>
    <row r="32" spans="1:25" ht="12.75" x14ac:dyDescent="0.2">
      <c r="A32" s="502" t="s">
        <v>52</v>
      </c>
      <c r="B32" s="619">
        <f>199*(100%-'Установка скидки'!$F$11)</f>
        <v>199</v>
      </c>
      <c r="C32" s="619">
        <f>206*(100%-'Установка скидки'!$F$11)</f>
        <v>206</v>
      </c>
      <c r="D32" s="619">
        <f>209*(100%-'Установка скидки'!$F$11)</f>
        <v>209</v>
      </c>
      <c r="E32" s="619">
        <f>212*(100%-'Установка скидки'!$F$11)</f>
        <v>212</v>
      </c>
      <c r="F32" s="619">
        <f>214*(100%-'Установка скидки'!$F$11)</f>
        <v>214</v>
      </c>
      <c r="G32" s="619">
        <f>215*(100%-'Установка скидки'!$F$11)</f>
        <v>215</v>
      </c>
      <c r="H32" s="619">
        <f>216*(100%-'Установка скидки'!$F$11)</f>
        <v>216</v>
      </c>
      <c r="I32" s="619">
        <f>218*(100%-'Установка скидки'!$F$11)</f>
        <v>218</v>
      </c>
      <c r="J32" s="619">
        <f>220*(100%-'Установка скидки'!$F$11)</f>
        <v>220</v>
      </c>
      <c r="K32" s="619">
        <f>222*(100%-'Установка скидки'!$F$11)</f>
        <v>222</v>
      </c>
      <c r="L32" s="619">
        <f>226*(100%-'Установка скидки'!$F$11)</f>
        <v>226</v>
      </c>
      <c r="M32" s="619">
        <f>234*(100%-'Установка скидки'!$F$11)</f>
        <v>234</v>
      </c>
      <c r="N32" s="619">
        <f>236*(100%-'Установка скидки'!$F$11)</f>
        <v>236</v>
      </c>
      <c r="O32" s="619">
        <f>239*(100%-'Установка скидки'!$F$11)</f>
        <v>239</v>
      </c>
      <c r="P32" s="620">
        <f>243*(100%-'Установка скидки'!$F$11)</f>
        <v>243</v>
      </c>
      <c r="Q32" s="329">
        <f>245*(100%-'Установка скидки'!$F$11)</f>
        <v>245</v>
      </c>
      <c r="R32" s="329">
        <f>251*(100%-'Установка скидки'!$F$11)</f>
        <v>251</v>
      </c>
      <c r="S32" s="329">
        <f>255*(100%-'Установка скидки'!$F$11)</f>
        <v>255</v>
      </c>
      <c r="T32" s="329">
        <f>258*(100%-'Установка скидки'!$F$11)</f>
        <v>258</v>
      </c>
      <c r="U32" s="329">
        <f>272*(100%-'Установка скидки'!$F$11)</f>
        <v>272</v>
      </c>
      <c r="V32" s="329">
        <f>284*(100%-'Установка скидки'!$F$11)</f>
        <v>284</v>
      </c>
      <c r="W32" s="329">
        <f>295*(100%-'Установка скидки'!$F$11)</f>
        <v>295</v>
      </c>
      <c r="X32" s="329">
        <f>305*(100%-'Установка скидки'!$F$11)</f>
        <v>305</v>
      </c>
      <c r="Y32" s="329">
        <f>319*(100%-'Установка скидки'!$F$11)</f>
        <v>319</v>
      </c>
    </row>
    <row r="33" spans="1:25" ht="15" customHeight="1" x14ac:dyDescent="0.2">
      <c r="A33" s="502" t="s">
        <v>53</v>
      </c>
      <c r="B33" s="621">
        <f>203*(100%-'Установка скидки'!$F$11)</f>
        <v>203</v>
      </c>
      <c r="C33" s="621" t="s">
        <v>0</v>
      </c>
      <c r="D33" s="621">
        <f>203*(100%-'Установка скидки'!$F$11)</f>
        <v>203</v>
      </c>
      <c r="E33" s="621" t="s">
        <v>0</v>
      </c>
      <c r="F33" s="621">
        <f>203*(100%-'Установка скидки'!$F$11)</f>
        <v>203</v>
      </c>
      <c r="G33" s="621" t="s">
        <v>0</v>
      </c>
      <c r="H33" s="621">
        <f>210*(100%-'Установка скидки'!$F$11)</f>
        <v>210</v>
      </c>
      <c r="I33" s="621" t="s">
        <v>0</v>
      </c>
      <c r="J33" s="621">
        <f>215*(100%-'Установка скидки'!$F$11)</f>
        <v>215</v>
      </c>
      <c r="K33" s="621">
        <f>215*(100%-'Установка скидки'!$F$11)</f>
        <v>215</v>
      </c>
      <c r="L33" s="621" t="s">
        <v>0</v>
      </c>
      <c r="M33" s="621">
        <f>232*(100%-'Установка скидки'!$F$11)</f>
        <v>232</v>
      </c>
      <c r="N33" s="621">
        <f>240*(100%-'Установка скидки'!$F$11)</f>
        <v>240</v>
      </c>
      <c r="O33" s="621">
        <f>240*(100%-'Установка скидки'!$F$11)</f>
        <v>240</v>
      </c>
      <c r="P33" s="622">
        <f>245*(100%-'Установка скидки'!$F$11)</f>
        <v>245</v>
      </c>
      <c r="Q33" s="330">
        <f>250*(100%-'Установка скидки'!$F$11)</f>
        <v>250</v>
      </c>
      <c r="R33" s="330">
        <f>258*(100%-'Установка скидки'!$F$11)</f>
        <v>258</v>
      </c>
      <c r="S33" s="330">
        <f>260*(100%-'Установка скидки'!$F$11)</f>
        <v>260</v>
      </c>
      <c r="T33" s="330">
        <f>260*(100%-'Установка скидки'!$F$11)</f>
        <v>260</v>
      </c>
      <c r="U33" s="330">
        <f>270*(100%-'Установка скидки'!$F$11)</f>
        <v>270</v>
      </c>
      <c r="V33" s="330">
        <f>280*(100%-'Установка скидки'!$F$11)</f>
        <v>280</v>
      </c>
      <c r="W33" s="330">
        <f>285*(100%-'Установка скидки'!$F$11)</f>
        <v>285</v>
      </c>
      <c r="X33" s="330">
        <f>315*(100%-'Установка скидки'!$F$11)</f>
        <v>315</v>
      </c>
      <c r="Y33" s="330">
        <f>315*(100%-'Установка скидки'!$F$11)</f>
        <v>315</v>
      </c>
    </row>
    <row r="34" spans="1:25" ht="15" customHeight="1" x14ac:dyDescent="0.2">
      <c r="A34" s="502" t="s">
        <v>54</v>
      </c>
      <c r="B34" s="621">
        <f>143*(100%-'Установка скидки'!$F$11)</f>
        <v>143</v>
      </c>
      <c r="C34" s="621">
        <f>145*(100%-'Установка скидки'!$F$11)</f>
        <v>145</v>
      </c>
      <c r="D34" s="621">
        <f>146*(100%-'Установка скидки'!$F$11)</f>
        <v>146</v>
      </c>
      <c r="E34" s="621">
        <f>146*(100%-'Установка скидки'!$F$11)</f>
        <v>146</v>
      </c>
      <c r="F34" s="621">
        <f>147*(100%-'Установка скидки'!$F$11)</f>
        <v>147</v>
      </c>
      <c r="G34" s="621">
        <f>150*(100%-'Установка скидки'!$F$11)</f>
        <v>150</v>
      </c>
      <c r="H34" s="621">
        <f>150*(100%-'Установка скидки'!$F$11)</f>
        <v>150</v>
      </c>
      <c r="I34" s="621">
        <f>152*(100%-'Установка скидки'!$F$11)</f>
        <v>152</v>
      </c>
      <c r="J34" s="621">
        <f>155*(100%-'Установка скидки'!$F$11)</f>
        <v>155</v>
      </c>
      <c r="K34" s="621">
        <f>155*(100%-'Установка скидки'!$F$11)</f>
        <v>155</v>
      </c>
      <c r="L34" s="621">
        <f>160*(100%-'Установка скидки'!$F$11)</f>
        <v>160</v>
      </c>
      <c r="M34" s="621">
        <f>166*(100%-'Установка скидки'!$F$11)</f>
        <v>166</v>
      </c>
      <c r="N34" s="621">
        <f>170*(100%-'Установка скидки'!$F$11)</f>
        <v>170</v>
      </c>
      <c r="O34" s="621">
        <f>176*(100%-'Установка скидки'!$F$11)</f>
        <v>176</v>
      </c>
      <c r="P34" s="622">
        <f>203*(100%-'Установка скидки'!$F$11)</f>
        <v>203</v>
      </c>
      <c r="Q34" s="330" t="s">
        <v>0</v>
      </c>
      <c r="R34" s="330" t="s">
        <v>0</v>
      </c>
      <c r="S34" s="330">
        <f>208*(100%-'Установка скидки'!$F$11)</f>
        <v>208</v>
      </c>
      <c r="T34" s="330">
        <f>215*(100%-'Установка скидки'!$F$11)</f>
        <v>215</v>
      </c>
      <c r="U34" s="330">
        <f>215*(100%-'Установка скидки'!$F$11)</f>
        <v>215</v>
      </c>
      <c r="V34" s="330">
        <f>228*(100%-'Установка скидки'!$F$11)</f>
        <v>228</v>
      </c>
      <c r="W34" s="330" t="s">
        <v>0</v>
      </c>
      <c r="X34" s="330">
        <f>268*(100%-'Установка скидки'!$F$11)</f>
        <v>268</v>
      </c>
      <c r="Y34" s="331" t="s">
        <v>0</v>
      </c>
    </row>
    <row r="35" spans="1:25" ht="15" customHeight="1" x14ac:dyDescent="0.2">
      <c r="A35" s="647" t="s">
        <v>227</v>
      </c>
      <c r="B35" s="632" t="s">
        <v>0</v>
      </c>
      <c r="C35" s="632" t="s">
        <v>0</v>
      </c>
      <c r="D35" s="632" t="s">
        <v>0</v>
      </c>
      <c r="E35" s="632" t="s">
        <v>0</v>
      </c>
      <c r="F35" s="632" t="s">
        <v>0</v>
      </c>
      <c r="G35" s="632" t="s">
        <v>0</v>
      </c>
      <c r="H35" s="632" t="s">
        <v>0</v>
      </c>
      <c r="I35" s="632" t="s">
        <v>0</v>
      </c>
      <c r="J35" s="632" t="s">
        <v>0</v>
      </c>
      <c r="K35" s="632" t="s">
        <v>0</v>
      </c>
      <c r="L35" s="632" t="s">
        <v>0</v>
      </c>
      <c r="M35" s="632" t="s">
        <v>0</v>
      </c>
      <c r="N35" s="632" t="s">
        <v>0</v>
      </c>
      <c r="O35" s="621">
        <f>176*(100%-'Установка скидки'!$F$11)</f>
        <v>176</v>
      </c>
      <c r="P35" s="691">
        <f>203*(100%-'Установка скидки'!$F$11)</f>
        <v>203</v>
      </c>
      <c r="Q35" s="632" t="s">
        <v>0</v>
      </c>
      <c r="R35" s="632" t="s">
        <v>0</v>
      </c>
      <c r="S35" s="632" t="s">
        <v>0</v>
      </c>
      <c r="T35" s="632" t="s">
        <v>0</v>
      </c>
      <c r="U35" s="632" t="s">
        <v>0</v>
      </c>
      <c r="V35" s="632" t="s">
        <v>0</v>
      </c>
      <c r="W35" s="632" t="s">
        <v>0</v>
      </c>
      <c r="X35" s="632" t="s">
        <v>0</v>
      </c>
      <c r="Y35" s="632" t="s">
        <v>0</v>
      </c>
    </row>
    <row r="36" spans="1:25" s="675" customFormat="1" ht="15" customHeight="1" x14ac:dyDescent="0.2">
      <c r="A36" s="674" t="s">
        <v>231</v>
      </c>
      <c r="B36" s="634"/>
      <c r="C36" s="634"/>
      <c r="D36" s="634"/>
      <c r="E36" s="634"/>
      <c r="F36" s="634"/>
      <c r="G36" s="634"/>
      <c r="H36" s="634"/>
      <c r="I36" s="634"/>
      <c r="J36" s="634"/>
      <c r="K36" s="634"/>
      <c r="L36" s="634"/>
      <c r="M36" s="621">
        <f>110*(100%-'Установка скидки'!$F$11)</f>
        <v>110</v>
      </c>
      <c r="N36" s="634"/>
      <c r="O36" s="621">
        <f>120*(100%-'Установка скидки'!$F$11)</f>
        <v>120</v>
      </c>
      <c r="P36" s="691">
        <f>125*(100%-'Установка скидки'!$F$11)</f>
        <v>125</v>
      </c>
      <c r="Q36" s="634"/>
      <c r="R36" s="634"/>
      <c r="S36" s="634"/>
      <c r="T36" s="634"/>
      <c r="U36" s="691">
        <f>145*(100%-'Установка скидки'!$F$11)</f>
        <v>145</v>
      </c>
      <c r="V36" s="634"/>
      <c r="W36" s="634"/>
      <c r="X36" s="634"/>
      <c r="Y36" s="634"/>
    </row>
    <row r="37" spans="1:25" s="675" customFormat="1" ht="15" customHeight="1" x14ac:dyDescent="0.2">
      <c r="A37" s="674" t="s">
        <v>232</v>
      </c>
      <c r="B37" s="810">
        <f>640*(100%-'Установка скидки'!$F$11)</f>
        <v>640</v>
      </c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</row>
    <row r="38" spans="1:25" s="675" customFormat="1" ht="15" customHeight="1" x14ac:dyDescent="0.2">
      <c r="A38" s="674" t="s">
        <v>233</v>
      </c>
      <c r="B38" s="810">
        <f>375*(100%-'Установка скидки'!$F$11)</f>
        <v>375</v>
      </c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</row>
    <row r="39" spans="1:25" ht="25.5" x14ac:dyDescent="0.2">
      <c r="A39" s="503" t="s">
        <v>55</v>
      </c>
      <c r="B39" s="819">
        <f>471*(100%-'Установка скидки'!$F$11)</f>
        <v>471</v>
      </c>
      <c r="C39" s="805"/>
      <c r="D39" s="805"/>
      <c r="E39" s="805"/>
      <c r="F39" s="820"/>
      <c r="G39" s="819">
        <f>471*(100%-'Установка скидки'!$F$11)</f>
        <v>471</v>
      </c>
      <c r="H39" s="826"/>
      <c r="I39" s="826"/>
      <c r="J39" s="826"/>
      <c r="K39" s="827"/>
      <c r="L39" s="621" t="s">
        <v>0</v>
      </c>
      <c r="M39" s="819">
        <f>471*(100%-'Установка скидки'!$F$11)</f>
        <v>471</v>
      </c>
      <c r="N39" s="805"/>
      <c r="O39" s="805"/>
      <c r="P39" s="820"/>
      <c r="Q39" s="821">
        <f>471*(100%-'Установка скидки'!$F$11)</f>
        <v>471</v>
      </c>
      <c r="R39" s="821"/>
      <c r="S39" s="821"/>
      <c r="T39" s="821"/>
      <c r="U39" s="822"/>
      <c r="V39" s="823">
        <f>471*(100%-'Установка скидки'!$F$11)</f>
        <v>471</v>
      </c>
      <c r="W39" s="824"/>
      <c r="X39" s="825"/>
      <c r="Y39" s="331" t="s">
        <v>0</v>
      </c>
    </row>
    <row r="40" spans="1:25" ht="25.5" x14ac:dyDescent="0.2">
      <c r="A40" s="503" t="s">
        <v>55</v>
      </c>
      <c r="B40" s="621" t="s">
        <v>0</v>
      </c>
      <c r="C40" s="621" t="s">
        <v>0</v>
      </c>
      <c r="D40" s="621" t="s">
        <v>0</v>
      </c>
      <c r="E40" s="621" t="s">
        <v>0</v>
      </c>
      <c r="F40" s="621" t="s">
        <v>0</v>
      </c>
      <c r="G40" s="621" t="s">
        <v>0</v>
      </c>
      <c r="H40" s="621" t="s">
        <v>0</v>
      </c>
      <c r="I40" s="621" t="s">
        <v>0</v>
      </c>
      <c r="J40" s="621" t="s">
        <v>0</v>
      </c>
      <c r="K40" s="805">
        <f>471*(100%-'Установка скидки'!$F$11)</f>
        <v>471</v>
      </c>
      <c r="L40" s="805"/>
      <c r="M40" s="806"/>
      <c r="N40" s="621" t="s">
        <v>0</v>
      </c>
      <c r="O40" s="621" t="s">
        <v>0</v>
      </c>
      <c r="P40" s="621" t="s">
        <v>0</v>
      </c>
      <c r="Q40" s="807">
        <f>440*(100%-'Установка скидки'!$F$11)</f>
        <v>440</v>
      </c>
      <c r="R40" s="808"/>
      <c r="S40" s="808"/>
      <c r="T40" s="809"/>
      <c r="U40" s="807">
        <f>440*(100%-'Установка скидки'!$F$11)</f>
        <v>440</v>
      </c>
      <c r="V40" s="808"/>
      <c r="W40" s="809"/>
      <c r="X40" s="264" t="s">
        <v>0</v>
      </c>
      <c r="Y40" s="264" t="s">
        <v>0</v>
      </c>
    </row>
    <row r="41" spans="1:25" ht="14.25" customHeight="1" x14ac:dyDescent="0.2">
      <c r="A41" s="504" t="s">
        <v>92</v>
      </c>
      <c r="B41" s="205" t="s">
        <v>0</v>
      </c>
      <c r="C41" s="205" t="s">
        <v>0</v>
      </c>
      <c r="D41" s="205" t="s">
        <v>0</v>
      </c>
      <c r="E41" s="205" t="s">
        <v>0</v>
      </c>
      <c r="F41" s="205" t="s">
        <v>0</v>
      </c>
      <c r="G41" s="205" t="s">
        <v>0</v>
      </c>
      <c r="H41" s="205" t="s">
        <v>0</v>
      </c>
      <c r="I41" s="205" t="s">
        <v>0</v>
      </c>
      <c r="J41" s="205" t="s">
        <v>0</v>
      </c>
      <c r="K41" s="205" t="s">
        <v>0</v>
      </c>
      <c r="L41" s="205" t="s">
        <v>0</v>
      </c>
      <c r="M41" s="205" t="s">
        <v>0</v>
      </c>
      <c r="N41" s="205" t="s">
        <v>0</v>
      </c>
      <c r="O41" s="205" t="s">
        <v>0</v>
      </c>
      <c r="P41" s="205" t="s">
        <v>0</v>
      </c>
      <c r="Q41" s="205" t="s">
        <v>0</v>
      </c>
      <c r="R41" s="205" t="s">
        <v>0</v>
      </c>
      <c r="S41" s="205" t="s">
        <v>0</v>
      </c>
      <c r="T41" s="205" t="s">
        <v>0</v>
      </c>
      <c r="U41" s="205" t="s">
        <v>0</v>
      </c>
      <c r="V41" s="205" t="s">
        <v>0</v>
      </c>
      <c r="W41" s="205" t="s">
        <v>0</v>
      </c>
      <c r="X41" s="205" t="s">
        <v>0</v>
      </c>
      <c r="Y41" s="545">
        <f>1500*(100%-'Установка скидки'!$F$11)</f>
        <v>1500</v>
      </c>
    </row>
    <row r="42" spans="1:25" ht="12.75" x14ac:dyDescent="0.2">
      <c r="A42" s="502" t="s">
        <v>56</v>
      </c>
      <c r="B42" s="810">
        <f>920*(100%-'Установка скидки'!$F$11)</f>
        <v>920</v>
      </c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810"/>
      <c r="O42" s="810"/>
      <c r="P42" s="810"/>
      <c r="Q42" s="810"/>
      <c r="R42" s="810"/>
      <c r="S42" s="810"/>
      <c r="T42" s="810"/>
      <c r="U42" s="810"/>
      <c r="V42" s="810"/>
      <c r="W42" s="810"/>
      <c r="X42" s="810"/>
      <c r="Y42" s="810"/>
    </row>
    <row r="43" spans="1:25" ht="12.75" x14ac:dyDescent="0.2">
      <c r="A43" s="502" t="s">
        <v>57</v>
      </c>
      <c r="B43" s="810">
        <f>625*(100%-'Установка скидки'!$F$11)</f>
        <v>625</v>
      </c>
      <c r="C43" s="810"/>
      <c r="D43" s="810"/>
      <c r="E43" s="810"/>
      <c r="F43" s="810"/>
      <c r="G43" s="810"/>
      <c r="H43" s="810"/>
      <c r="I43" s="810"/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0"/>
      <c r="U43" s="810"/>
      <c r="V43" s="810"/>
      <c r="W43" s="810"/>
      <c r="X43" s="810"/>
      <c r="Y43" s="810"/>
    </row>
    <row r="44" spans="1:25" s="258" customFormat="1" ht="12.75" x14ac:dyDescent="0.2">
      <c r="A44" s="502" t="s">
        <v>58</v>
      </c>
      <c r="B44" s="305">
        <f>200*(100%-'Установка скидки'!$F$11)</f>
        <v>200</v>
      </c>
      <c r="C44" s="484">
        <f>223*(100%-'Установка скидки'!$F$11)</f>
        <v>223</v>
      </c>
      <c r="D44" s="305">
        <f>232*(100%-'Установка скидки'!$F$11)</f>
        <v>232</v>
      </c>
      <c r="E44" s="305">
        <f>244*(100%-'Установка скидки'!$F$11)</f>
        <v>244</v>
      </c>
      <c r="F44" s="305">
        <f>246*(100%-'Установка скидки'!$F$11)</f>
        <v>246</v>
      </c>
      <c r="G44" s="484">
        <f>271*(100%-'Установка скидки'!$F$11)</f>
        <v>271</v>
      </c>
      <c r="H44" s="305">
        <f>273*(100%-'Установка скидки'!$F$11)</f>
        <v>273</v>
      </c>
      <c r="I44" s="484">
        <f>282*(100%-'Установка скидки'!$F$11)</f>
        <v>282</v>
      </c>
      <c r="J44" s="305">
        <f>282*(100%-'Установка скидки'!$F$11)</f>
        <v>282</v>
      </c>
      <c r="K44" s="305">
        <f>310*(100%-'Установка скидки'!$F$11)</f>
        <v>310</v>
      </c>
      <c r="L44" s="619">
        <f>311*(100%-'Установка скидки'!$F$11)</f>
        <v>311</v>
      </c>
      <c r="M44" s="305">
        <f>338*(100%-'Установка скидки'!$F$11)</f>
        <v>338</v>
      </c>
      <c r="N44" s="305">
        <f>342*(100%-'Установка скидки'!$F$11)</f>
        <v>342</v>
      </c>
      <c r="O44" s="305">
        <f>374*(100%-'Установка скидки'!$F$11)</f>
        <v>374</v>
      </c>
      <c r="P44" s="329">
        <f>388*(100%-'Установка скидки'!$F$11)</f>
        <v>388</v>
      </c>
      <c r="Q44" s="329">
        <f>400*(100%-'Установка скидки'!$F$11)</f>
        <v>400</v>
      </c>
      <c r="R44" s="329">
        <f>412*(100%-'Установка скидки'!$F$11)</f>
        <v>412</v>
      </c>
      <c r="S44" s="329">
        <f>427*(100%-'Установка скидки'!$F$11)</f>
        <v>427</v>
      </c>
      <c r="T44" s="329">
        <f>437*(100%-'Установка скидки'!$F$11)</f>
        <v>437</v>
      </c>
      <c r="U44" s="329">
        <f>451*(100%-'Установка скидки'!$F$11)</f>
        <v>451</v>
      </c>
      <c r="V44" s="329">
        <f>477*(100%-'Установка скидки'!$F$11)</f>
        <v>477</v>
      </c>
      <c r="W44" s="329">
        <f>504*(100%-'Установка скидки'!$F$11)</f>
        <v>504</v>
      </c>
      <c r="X44" s="329">
        <f>528*(100%-'Установка скидки'!$F$11)</f>
        <v>528</v>
      </c>
      <c r="Y44" s="329">
        <f>581*(100%-'Установка скидки'!$F$11)</f>
        <v>581</v>
      </c>
    </row>
    <row r="45" spans="1:25" s="258" customFormat="1" ht="12.75" x14ac:dyDescent="0.2">
      <c r="A45" s="502" t="s">
        <v>59</v>
      </c>
      <c r="B45" s="804">
        <f>1885*(100%-'Установка скидки'!$F$11)</f>
        <v>1885</v>
      </c>
      <c r="C45" s="804"/>
      <c r="D45" s="804"/>
      <c r="E45" s="804"/>
      <c r="F45" s="804"/>
      <c r="G45" s="804"/>
      <c r="H45" s="804"/>
      <c r="I45" s="804"/>
      <c r="J45" s="804"/>
      <c r="K45" s="804"/>
      <c r="L45" s="804"/>
      <c r="M45" s="804"/>
      <c r="N45" s="804"/>
      <c r="O45" s="804"/>
      <c r="P45" s="804"/>
      <c r="Q45" s="804"/>
      <c r="R45" s="804"/>
      <c r="S45" s="804"/>
      <c r="T45" s="804"/>
      <c r="U45" s="804"/>
      <c r="V45" s="804"/>
      <c r="W45" s="804"/>
      <c r="X45" s="804"/>
      <c r="Y45" s="804"/>
    </row>
    <row r="46" spans="1:25" s="258" customFormat="1" ht="12.75" x14ac:dyDescent="0.2">
      <c r="A46" s="502" t="s">
        <v>60</v>
      </c>
      <c r="B46" s="810">
        <f>695*(100%-'Установка скидки'!$F$11)</f>
        <v>695</v>
      </c>
      <c r="C46" s="810"/>
      <c r="D46" s="810"/>
      <c r="E46" s="810"/>
      <c r="F46" s="810"/>
      <c r="G46" s="810"/>
      <c r="H46" s="810"/>
      <c r="I46" s="810"/>
      <c r="J46" s="810"/>
      <c r="K46" s="810"/>
      <c r="L46" s="810"/>
      <c r="M46" s="810"/>
      <c r="N46" s="810"/>
      <c r="O46" s="810"/>
      <c r="P46" s="810"/>
      <c r="Q46" s="810"/>
      <c r="R46" s="810"/>
      <c r="S46" s="810"/>
      <c r="T46" s="810"/>
      <c r="U46" s="810"/>
      <c r="V46" s="810"/>
      <c r="W46" s="810"/>
      <c r="X46" s="810"/>
      <c r="Y46" s="810"/>
    </row>
    <row r="47" spans="1:25" s="260" customFormat="1" ht="12.75" x14ac:dyDescent="0.2">
      <c r="A47" s="39"/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3"/>
      <c r="Y47" s="43"/>
    </row>
    <row r="48" spans="1:25" s="258" customFormat="1" ht="15.75" x14ac:dyDescent="0.2">
      <c r="A48" s="308"/>
      <c r="B48" s="816"/>
      <c r="C48" s="817"/>
      <c r="D48" s="815" t="s">
        <v>212</v>
      </c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696"/>
      <c r="X48" s="696"/>
      <c r="Y48" s="696"/>
    </row>
    <row r="49" spans="1:25" s="258" customFormat="1" ht="18" customHeight="1" x14ac:dyDescent="0.2">
      <c r="A49" s="300"/>
      <c r="B49" s="543"/>
      <c r="C49" s="544"/>
      <c r="D49" s="300" t="s">
        <v>26</v>
      </c>
      <c r="E49" s="300"/>
      <c r="F49" s="300"/>
      <c r="G49" s="300"/>
      <c r="H49" s="300"/>
      <c r="I49" s="301"/>
      <c r="J49" s="301"/>
      <c r="K49" s="301"/>
      <c r="L49" s="299"/>
      <c r="M49" s="333"/>
      <c r="N49" s="333"/>
      <c r="O49" s="299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s="258" customFormat="1" ht="18" customHeight="1" x14ac:dyDescent="0.2">
      <c r="A50" s="300"/>
      <c r="B50" s="328"/>
      <c r="C50" s="328"/>
      <c r="D50" s="300"/>
      <c r="E50" s="300"/>
      <c r="F50" s="300"/>
      <c r="G50" s="300"/>
      <c r="H50" s="300"/>
      <c r="I50" s="301"/>
      <c r="J50" s="301"/>
      <c r="K50" s="301"/>
      <c r="L50" s="299"/>
      <c r="M50" s="299"/>
      <c r="N50" s="299"/>
      <c r="O50" s="299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s="258" customFormat="1" ht="14.25" x14ac:dyDescent="0.2">
      <c r="A51" s="811" t="s">
        <v>27</v>
      </c>
      <c r="B51" s="811"/>
      <c r="C51" s="811"/>
      <c r="D51" s="811"/>
      <c r="E51" s="811"/>
      <c r="F51" s="812"/>
      <c r="G51" s="812"/>
      <c r="H51" s="812"/>
      <c r="I51" s="812"/>
      <c r="J51" s="812"/>
      <c r="K51" s="812"/>
      <c r="L51" s="812"/>
      <c r="M51" s="812"/>
      <c r="N51" s="812"/>
      <c r="O51" s="812"/>
      <c r="P51" s="812"/>
      <c r="Q51" s="812"/>
      <c r="R51" s="16"/>
      <c r="S51" s="16"/>
      <c r="T51" s="16"/>
      <c r="U51" s="16"/>
      <c r="V51" s="16"/>
      <c r="W51" s="16"/>
      <c r="X51" s="16"/>
      <c r="Y51" s="16"/>
    </row>
    <row r="52" spans="1:25" s="258" customFormat="1" ht="17.25" customHeight="1" x14ac:dyDescent="0.2">
      <c r="A52" s="813" t="s">
        <v>21</v>
      </c>
      <c r="B52" s="814"/>
      <c r="C52" s="814"/>
      <c r="D52" s="814"/>
      <c r="E52" s="814"/>
      <c r="F52" s="814"/>
      <c r="G52" s="814"/>
      <c r="H52" s="814"/>
      <c r="I52" s="814"/>
      <c r="J52" s="814"/>
      <c r="K52" s="814"/>
      <c r="L52" s="814"/>
      <c r="M52" s="814"/>
      <c r="N52" s="814"/>
      <c r="O52" s="814"/>
      <c r="P52" s="814"/>
      <c r="Q52" s="814"/>
      <c r="R52" s="814"/>
      <c r="S52" s="814"/>
      <c r="T52" s="814"/>
      <c r="U52" s="814"/>
      <c r="V52" s="324"/>
      <c r="W52" s="324"/>
      <c r="X52" s="261"/>
    </row>
    <row r="53" spans="1:25" s="258" customFormat="1" ht="30.75" customHeight="1" x14ac:dyDescent="0.2">
      <c r="A53" s="721" t="s">
        <v>178</v>
      </c>
      <c r="B53" s="814"/>
      <c r="C53" s="814"/>
      <c r="D53" s="814"/>
      <c r="E53" s="814"/>
      <c r="F53" s="814"/>
      <c r="G53" s="814"/>
      <c r="H53" s="814"/>
      <c r="I53" s="814"/>
      <c r="J53" s="814"/>
      <c r="K53" s="814"/>
      <c r="L53" s="814"/>
      <c r="M53" s="814"/>
      <c r="N53" s="814"/>
      <c r="O53" s="814"/>
      <c r="P53" s="814"/>
      <c r="Q53" s="814"/>
      <c r="R53" s="814"/>
      <c r="S53" s="814"/>
      <c r="T53" s="814"/>
      <c r="U53" s="814"/>
      <c r="V53" s="814"/>
      <c r="W53" s="814"/>
      <c r="X53" s="772"/>
      <c r="Y53" s="772"/>
    </row>
    <row r="54" spans="1:25" ht="15.75" x14ac:dyDescent="0.25">
      <c r="A54" s="325" t="s">
        <v>177</v>
      </c>
      <c r="B54" s="326"/>
      <c r="C54" s="326"/>
      <c r="D54" s="327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</row>
    <row r="55" spans="1:25" ht="15.75" x14ac:dyDescent="0.25">
      <c r="A55" s="325"/>
      <c r="B55" s="326"/>
      <c r="C55" s="326"/>
      <c r="D55" s="327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</row>
  </sheetData>
  <protectedRanges>
    <protectedRange sqref="E1:G1 E5:G5 E7:G7 A47:C51 D48 D49:F50" name="Диапазон1_2_2_1"/>
    <protectedRange sqref="E47:J48 M47:O48 H49:M50" name="Диапазон1_2_6_1_1"/>
    <protectedRange sqref="M51:O51 E51:J51" name="Диапазон1_20_1_1"/>
    <protectedRange sqref="A1:C6" name="Диапазон1_2_1_1_1"/>
    <protectedRange sqref="A7:C7" name="Диапазон1_1_1_1_1"/>
    <protectedRange sqref="D6:M6 D1 E2:M3 D3" name="Диапазон1_1_2_1_1"/>
    <protectedRange sqref="K9:N10 D9:I10 D8:E8 A26 B15:L17 A23 A15:A21 A8:A13 B11:L13 A28:A46" name="Диапазон1_2_2_1_1"/>
    <protectedRange sqref="F8:J8" name="Диапазон1_3_1_1_1_1"/>
    <protectedRange sqref="A14" name="Диапазон1_3_2_1_1"/>
    <protectedRange sqref="A22" name="Диапазон1_6_1_1_1"/>
    <protectedRange sqref="D34:I34 D44:I46 K34:N34 K44:N46 K28:N29 D28:I29 D31:I31 H30:I30 K31:N31 K30:L30 D42:E43 M36" name="Диапазон1_2_6_1_1_1"/>
    <protectedRange sqref="D14:I14 K14:N14" name="Диапазон1_3_6_1_1_1"/>
    <protectedRange sqref="K22:N23 D22:I23" name="Диапазон1_6_4_1_1_1"/>
    <protectedRange sqref="K18:N18 F21:G21 D18:I18" name="Диапазон1_3_6_1_1_1_1"/>
  </protectedRanges>
  <mergeCells count="67">
    <mergeCell ref="B13:Y13"/>
    <mergeCell ref="U29:W29"/>
    <mergeCell ref="G24:K24"/>
    <mergeCell ref="G28:K28"/>
    <mergeCell ref="B29:F29"/>
    <mergeCell ref="H29:K29"/>
    <mergeCell ref="M29:P29"/>
    <mergeCell ref="B27:Y27"/>
    <mergeCell ref="B28:F28"/>
    <mergeCell ref="M28:P28"/>
    <mergeCell ref="Q28:T28"/>
    <mergeCell ref="U28:W28"/>
    <mergeCell ref="K25:M25"/>
    <mergeCell ref="Q25:T25"/>
    <mergeCell ref="U25:W25"/>
    <mergeCell ref="B14:Y14"/>
    <mergeCell ref="A5:E5"/>
    <mergeCell ref="A6:J6"/>
    <mergeCell ref="A8:Y8"/>
    <mergeCell ref="B11:Y11"/>
    <mergeCell ref="B12:Y12"/>
    <mergeCell ref="B10:Y10"/>
    <mergeCell ref="A1:E1"/>
    <mergeCell ref="A2:E2"/>
    <mergeCell ref="F2:T4"/>
    <mergeCell ref="A3:E3"/>
    <mergeCell ref="A4:E4"/>
    <mergeCell ref="B15:Y15"/>
    <mergeCell ref="B16:Y16"/>
    <mergeCell ref="B17:Y17"/>
    <mergeCell ref="B22:Y22"/>
    <mergeCell ref="F18:G18"/>
    <mergeCell ref="H18:I18"/>
    <mergeCell ref="K18:L18"/>
    <mergeCell ref="O18:P18"/>
    <mergeCell ref="M18:N18"/>
    <mergeCell ref="Q18:R18"/>
    <mergeCell ref="W18:X18"/>
    <mergeCell ref="T18:U18"/>
    <mergeCell ref="B23:Y23"/>
    <mergeCell ref="B24:F24"/>
    <mergeCell ref="M24:P24"/>
    <mergeCell ref="Q24:U24"/>
    <mergeCell ref="V24:X24"/>
    <mergeCell ref="T31:W31"/>
    <mergeCell ref="B39:F39"/>
    <mergeCell ref="M39:P39"/>
    <mergeCell ref="Q39:U39"/>
    <mergeCell ref="V39:X39"/>
    <mergeCell ref="G39:K39"/>
    <mergeCell ref="B31:F31"/>
    <mergeCell ref="H31:K31"/>
    <mergeCell ref="M31:O31"/>
    <mergeCell ref="B37:Y37"/>
    <mergeCell ref="B38:Y38"/>
    <mergeCell ref="B46:Y46"/>
    <mergeCell ref="A51:Q51"/>
    <mergeCell ref="A52:U52"/>
    <mergeCell ref="A53:Y53"/>
    <mergeCell ref="D48:Y48"/>
    <mergeCell ref="B48:C48"/>
    <mergeCell ref="B45:Y45"/>
    <mergeCell ref="K40:M40"/>
    <mergeCell ref="Q40:T40"/>
    <mergeCell ref="U40:W40"/>
    <mergeCell ref="B42:Y42"/>
    <mergeCell ref="B43:Y43"/>
  </mergeCells>
  <printOptions horizontalCentered="1"/>
  <pageMargins left="0" right="0" top="0" bottom="0" header="0.31496062992125984" footer="0.31496062992125984"/>
  <pageSetup scale="5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48"/>
  <sheetViews>
    <sheetView showGridLines="0" topLeftCell="A7" zoomScaleNormal="100" workbookViewId="0">
      <selection activeCell="C16" sqref="C16"/>
    </sheetView>
  </sheetViews>
  <sheetFormatPr defaultRowHeight="12.75" x14ac:dyDescent="0.2"/>
  <cols>
    <col min="1" max="1" width="47.85546875" style="15" customWidth="1"/>
    <col min="2" max="2" width="12.42578125" style="15" customWidth="1"/>
    <col min="3" max="3" width="24.7109375" customWidth="1"/>
    <col min="4" max="4" width="33.7109375" customWidth="1"/>
    <col min="5" max="5" width="10.140625" customWidth="1"/>
    <col min="6" max="6" width="12.7109375" customWidth="1"/>
  </cols>
  <sheetData>
    <row r="1" spans="1:6" ht="15" x14ac:dyDescent="0.25">
      <c r="A1" s="13"/>
      <c r="B1" s="13"/>
      <c r="C1" s="5"/>
      <c r="D1" s="5"/>
      <c r="E1" s="5"/>
      <c r="F1" s="5"/>
    </row>
    <row r="2" spans="1:6" ht="15" x14ac:dyDescent="0.25">
      <c r="A2" s="13"/>
      <c r="B2" s="13"/>
      <c r="C2" s="5"/>
      <c r="D2" s="5"/>
      <c r="E2" s="5"/>
      <c r="F2" s="5"/>
    </row>
    <row r="3" spans="1:6" ht="15" x14ac:dyDescent="0.25">
      <c r="A3" s="13"/>
      <c r="B3" s="13"/>
      <c r="C3" s="5"/>
      <c r="D3" s="5"/>
      <c r="E3" s="5"/>
      <c r="F3" s="5"/>
    </row>
    <row r="4" spans="1:6" ht="25.5" customHeight="1" x14ac:dyDescent="0.25">
      <c r="A4" s="14"/>
      <c r="B4" s="14"/>
      <c r="C4" s="868"/>
      <c r="D4" s="868"/>
      <c r="E4" s="5"/>
      <c r="F4" s="5"/>
    </row>
    <row r="5" spans="1:6" ht="15" x14ac:dyDescent="0.25">
      <c r="A5" s="13"/>
      <c r="B5" s="13"/>
      <c r="C5" s="696"/>
      <c r="D5" s="696"/>
      <c r="E5" s="5"/>
      <c r="F5" s="5"/>
    </row>
    <row r="6" spans="1:6" ht="15.75" thickBot="1" x14ac:dyDescent="0.3">
      <c r="A6" s="13"/>
      <c r="B6" s="13"/>
      <c r="C6" s="696"/>
      <c r="D6" s="696"/>
      <c r="E6" s="5"/>
      <c r="F6" s="5"/>
    </row>
    <row r="7" spans="1:6" ht="40.5" customHeight="1" thickBot="1" x14ac:dyDescent="0.25">
      <c r="A7" s="83" t="s">
        <v>10</v>
      </c>
      <c r="B7" s="127" t="s">
        <v>118</v>
      </c>
      <c r="C7" s="127" t="s">
        <v>11</v>
      </c>
      <c r="D7" s="127" t="s">
        <v>12</v>
      </c>
    </row>
    <row r="8" spans="1:6" s="6" customFormat="1" ht="39.950000000000003" customHeight="1" x14ac:dyDescent="0.2">
      <c r="A8" s="131" t="s">
        <v>114</v>
      </c>
      <c r="B8" s="129" t="s">
        <v>0</v>
      </c>
      <c r="C8" s="155">
        <f>3490*(100%-'Установка скидки'!$F$11)</f>
        <v>3490</v>
      </c>
      <c r="D8" s="872"/>
    </row>
    <row r="9" spans="1:6" ht="39.950000000000003" customHeight="1" x14ac:dyDescent="0.2">
      <c r="A9" s="132" t="s">
        <v>115</v>
      </c>
      <c r="B9" s="130" t="s">
        <v>0</v>
      </c>
      <c r="C9" s="156">
        <f>3890*(100%-'Установка скидки'!$F$11)</f>
        <v>3890</v>
      </c>
      <c r="D9" s="873"/>
    </row>
    <row r="10" spans="1:6" ht="39.950000000000003" customHeight="1" x14ac:dyDescent="0.2">
      <c r="A10" s="136" t="s">
        <v>116</v>
      </c>
      <c r="B10" s="178" t="s">
        <v>0</v>
      </c>
      <c r="C10" s="156">
        <f>4890*(100%-'Установка скидки'!$F$11)</f>
        <v>4890</v>
      </c>
      <c r="D10" s="873"/>
    </row>
    <row r="11" spans="1:6" ht="39.950000000000003" customHeight="1" thickBot="1" x14ac:dyDescent="0.25">
      <c r="A11" s="175" t="s">
        <v>117</v>
      </c>
      <c r="B11" s="176" t="s">
        <v>0</v>
      </c>
      <c r="C11" s="177">
        <f>5490*(100%-'Установка скидки'!$F$11)</f>
        <v>5490</v>
      </c>
      <c r="D11" s="873"/>
    </row>
    <row r="12" spans="1:6" s="6" customFormat="1" ht="39.950000000000003" customHeight="1" x14ac:dyDescent="0.2">
      <c r="A12" s="133" t="s">
        <v>121</v>
      </c>
      <c r="B12" s="128" t="s">
        <v>125</v>
      </c>
      <c r="C12" s="158">
        <f>4090*(100%-'Установка скидки'!$F$11)</f>
        <v>4090</v>
      </c>
      <c r="D12" s="869"/>
    </row>
    <row r="13" spans="1:6" ht="39.950000000000003" customHeight="1" x14ac:dyDescent="0.2">
      <c r="A13" s="136" t="s">
        <v>120</v>
      </c>
      <c r="B13" s="137" t="s">
        <v>125</v>
      </c>
      <c r="C13" s="159">
        <f>4890*(100%-'Установка скидки'!$F$11)</f>
        <v>4890</v>
      </c>
      <c r="D13" s="869"/>
    </row>
    <row r="14" spans="1:6" ht="39.950000000000003" customHeight="1" thickBot="1" x14ac:dyDescent="0.25">
      <c r="A14" s="134" t="s">
        <v>119</v>
      </c>
      <c r="B14" s="135" t="s">
        <v>125</v>
      </c>
      <c r="C14" s="157">
        <f>5990*(100%-'Установка скидки'!$F$11)</f>
        <v>5990</v>
      </c>
      <c r="D14" s="870"/>
    </row>
    <row r="15" spans="1:6" ht="39.950000000000003" customHeight="1" thickBot="1" x14ac:dyDescent="0.25">
      <c r="A15" s="639" t="s">
        <v>225</v>
      </c>
      <c r="B15" s="640">
        <v>180</v>
      </c>
      <c r="C15" s="157">
        <f>1250*(100%-'Установка скидки'!$F$11)</f>
        <v>1250</v>
      </c>
      <c r="D15" s="633"/>
    </row>
    <row r="16" spans="1:6" ht="31.5" customHeight="1" thickBot="1" x14ac:dyDescent="0.25">
      <c r="A16" s="521" t="s">
        <v>210</v>
      </c>
      <c r="B16" s="522" t="s">
        <v>125</v>
      </c>
      <c r="C16" s="523">
        <f>3285*(100%-'Установка скидки'!$F$11)</f>
        <v>3285</v>
      </c>
      <c r="D16" s="520"/>
    </row>
    <row r="17" spans="1:13" ht="31.5" customHeight="1" thickBot="1" x14ac:dyDescent="0.25">
      <c r="A17" s="641" t="s">
        <v>226</v>
      </c>
      <c r="B17" s="522" t="s">
        <v>125</v>
      </c>
      <c r="C17" s="157">
        <f>4950*(100%-'Установка скидки'!$F$11)</f>
        <v>4950</v>
      </c>
      <c r="D17" s="601"/>
    </row>
    <row r="18" spans="1:13" ht="31.5" customHeight="1" thickBot="1" x14ac:dyDescent="0.25">
      <c r="A18" s="531" t="s">
        <v>211</v>
      </c>
      <c r="B18" s="532" t="s">
        <v>214</v>
      </c>
      <c r="C18" s="523">
        <f>1950*(100%-'Установка скидки'!$F$11)</f>
        <v>1950</v>
      </c>
      <c r="D18" s="530"/>
    </row>
    <row r="19" spans="1:13" ht="39.950000000000003" customHeight="1" x14ac:dyDescent="0.2">
      <c r="A19" s="526" t="s">
        <v>122</v>
      </c>
      <c r="B19" s="525" t="s">
        <v>125</v>
      </c>
      <c r="C19" s="527">
        <f>2590*(100%-'Установка скидки'!$F$11)</f>
        <v>2590</v>
      </c>
      <c r="D19" s="871"/>
    </row>
    <row r="20" spans="1:13" ht="39.950000000000003" customHeight="1" x14ac:dyDescent="0.2">
      <c r="A20" s="528" t="s">
        <v>123</v>
      </c>
      <c r="B20" s="137" t="s">
        <v>125</v>
      </c>
      <c r="C20" s="529">
        <f>3190*(100%-'Установка скидки'!$F$11)</f>
        <v>3190</v>
      </c>
      <c r="D20" s="869"/>
    </row>
    <row r="21" spans="1:13" ht="39.950000000000003" customHeight="1" thickBot="1" x14ac:dyDescent="0.25">
      <c r="A21" s="134" t="s">
        <v>124</v>
      </c>
      <c r="B21" s="135" t="s">
        <v>125</v>
      </c>
      <c r="C21" s="524">
        <f>4190*(100%-'Установка скидки'!$F$11)</f>
        <v>4190</v>
      </c>
      <c r="D21" s="870"/>
    </row>
    <row r="22" spans="1:13" x14ac:dyDescent="0.2">
      <c r="C22" s="70"/>
      <c r="D22" s="70"/>
      <c r="E22" s="70"/>
      <c r="F22" s="70"/>
      <c r="G22" s="70"/>
      <c r="H22" s="70"/>
      <c r="I22" s="70"/>
    </row>
    <row r="23" spans="1:13" x14ac:dyDescent="0.2">
      <c r="A23" s="15" t="s">
        <v>23</v>
      </c>
      <c r="C23" s="70"/>
      <c r="D23" s="70"/>
      <c r="E23" s="70"/>
      <c r="F23" s="70"/>
      <c r="G23" s="70"/>
      <c r="H23" s="70"/>
      <c r="I23" s="70"/>
    </row>
    <row r="24" spans="1:13" x14ac:dyDescent="0.2">
      <c r="A24" s="125" t="s">
        <v>15</v>
      </c>
      <c r="B24" s="125"/>
      <c r="C24" s="70"/>
      <c r="D24" s="70"/>
      <c r="E24" s="70"/>
      <c r="F24" s="70"/>
      <c r="G24" s="70"/>
      <c r="H24" s="70"/>
      <c r="I24" s="70"/>
    </row>
    <row r="25" spans="1:13" x14ac:dyDescent="0.2">
      <c r="A25" s="125" t="s">
        <v>16</v>
      </c>
      <c r="B25" s="70"/>
      <c r="C25" s="70"/>
      <c r="D25" s="70"/>
      <c r="E25" s="70"/>
      <c r="F25" s="70"/>
      <c r="G25" s="70"/>
      <c r="H25" s="70"/>
      <c r="I25" s="70"/>
    </row>
    <row r="26" spans="1:13" x14ac:dyDescent="0.2">
      <c r="A26" s="125" t="s">
        <v>17</v>
      </c>
      <c r="B26" s="70"/>
      <c r="C26" s="70"/>
      <c r="D26" s="70"/>
      <c r="E26" s="70"/>
      <c r="F26" s="70"/>
      <c r="G26" s="70"/>
      <c r="H26" s="70"/>
      <c r="I26" s="70"/>
    </row>
    <row r="27" spans="1:13" ht="15" customHeight="1" x14ac:dyDescent="0.2">
      <c r="A27" s="751" t="s">
        <v>21</v>
      </c>
      <c r="B27" s="698"/>
      <c r="C27" s="698"/>
      <c r="D27" s="698"/>
      <c r="E27" s="68"/>
      <c r="F27" s="68"/>
      <c r="G27" s="68"/>
      <c r="H27" s="68"/>
      <c r="I27" s="68"/>
    </row>
    <row r="28" spans="1:13" x14ac:dyDescent="0.2">
      <c r="C28" s="70"/>
      <c r="D28" s="70"/>
      <c r="E28" s="70"/>
      <c r="F28" s="70"/>
      <c r="G28" s="70"/>
      <c r="H28" s="70"/>
      <c r="I28" s="70"/>
    </row>
    <row r="29" spans="1:13" x14ac:dyDescent="0.2">
      <c r="C29" s="70"/>
      <c r="D29" s="70"/>
      <c r="E29" s="70"/>
      <c r="F29" s="70"/>
      <c r="G29" s="70"/>
      <c r="H29" s="70"/>
      <c r="I29" s="70"/>
    </row>
    <row r="30" spans="1:13" ht="15" x14ac:dyDescent="0.25">
      <c r="A30" s="126"/>
      <c r="B30" s="126"/>
      <c r="C30" s="126"/>
      <c r="D30" s="79"/>
      <c r="E30" s="126"/>
      <c r="F30" s="79"/>
      <c r="G30" s="126"/>
      <c r="H30" s="79"/>
      <c r="I30" s="126"/>
      <c r="J30" s="79"/>
      <c r="K30" s="77"/>
      <c r="L30" s="80"/>
      <c r="M30" s="81"/>
    </row>
    <row r="31" spans="1:13" ht="15" x14ac:dyDescent="0.25">
      <c r="A31" s="126"/>
      <c r="B31" s="126"/>
      <c r="C31" s="126"/>
      <c r="D31" s="79"/>
      <c r="E31" s="126"/>
      <c r="F31" s="79"/>
      <c r="G31" s="126"/>
      <c r="H31" s="79"/>
      <c r="I31" s="126"/>
      <c r="J31" s="79"/>
      <c r="K31" s="77"/>
      <c r="L31" s="80"/>
      <c r="M31" s="81"/>
    </row>
    <row r="32" spans="1:13" ht="15" x14ac:dyDescent="0.25">
      <c r="A32" s="126"/>
      <c r="B32" s="126"/>
      <c r="C32" s="126"/>
      <c r="D32" s="79"/>
      <c r="E32" s="126"/>
      <c r="F32" s="79"/>
      <c r="G32" s="126"/>
      <c r="H32" s="79"/>
      <c r="I32" s="126"/>
      <c r="J32" s="79"/>
      <c r="K32" s="77"/>
      <c r="L32" s="80"/>
      <c r="M32" s="81"/>
    </row>
    <row r="33" spans="1:13" ht="15" x14ac:dyDescent="0.25">
      <c r="A33" s="126"/>
      <c r="B33" s="126"/>
      <c r="C33" s="126"/>
      <c r="D33" s="79"/>
      <c r="E33" s="126"/>
      <c r="F33" s="79"/>
      <c r="G33" s="126"/>
      <c r="H33" s="79"/>
      <c r="I33" s="126"/>
      <c r="J33" s="79"/>
      <c r="K33" s="77"/>
      <c r="L33" s="80"/>
      <c r="M33" s="81"/>
    </row>
    <row r="34" spans="1:13" ht="15" x14ac:dyDescent="0.25">
      <c r="A34" s="78"/>
      <c r="B34" s="78"/>
      <c r="C34" s="78"/>
      <c r="D34" s="79"/>
      <c r="E34" s="78"/>
      <c r="F34" s="79"/>
      <c r="G34" s="78"/>
      <c r="H34" s="79"/>
      <c r="I34" s="78"/>
      <c r="J34" s="79"/>
      <c r="K34" s="77"/>
      <c r="L34" s="80"/>
      <c r="M34" s="81"/>
    </row>
    <row r="35" spans="1:13" ht="15" x14ac:dyDescent="0.25">
      <c r="A35" s="78"/>
      <c r="B35" s="78"/>
      <c r="C35" s="78"/>
      <c r="D35" s="79"/>
      <c r="E35" s="78"/>
      <c r="F35" s="79"/>
      <c r="G35" s="78"/>
      <c r="H35" s="79"/>
      <c r="I35" s="78"/>
      <c r="J35" s="79"/>
      <c r="K35" s="80"/>
      <c r="L35" s="80"/>
      <c r="M35" s="81"/>
    </row>
    <row r="39" spans="1:13" ht="14.25" customHeight="1" x14ac:dyDescent="0.2">
      <c r="A39"/>
      <c r="B39"/>
    </row>
    <row r="48" spans="1:13" ht="38.25" customHeight="1" x14ac:dyDescent="0.2">
      <c r="A48"/>
      <c r="B48"/>
    </row>
  </sheetData>
  <protectedRanges>
    <protectedRange sqref="A28:D35 C1:D6 A23:D26 A38:D65529" name="Диапазон1"/>
    <protectedRange sqref="A1:B6" name="Диапазон1_1"/>
    <protectedRange sqref="A7:D21" name="Диапазон1_2"/>
  </protectedRanges>
  <mergeCells count="5">
    <mergeCell ref="C4:D6"/>
    <mergeCell ref="D12:D14"/>
    <mergeCell ref="D19:D21"/>
    <mergeCell ref="D8:D11"/>
    <mergeCell ref="A27:D27"/>
  </mergeCells>
  <phoneticPr fontId="13" type="noConversion"/>
  <pageMargins left="0" right="0" top="0" bottom="0" header="0.11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zoomScaleNormal="100" workbookViewId="0">
      <pane xSplit="1" ySplit="10" topLeftCell="B41" activePane="bottomRight" state="frozen"/>
      <selection activeCell="P31" sqref="P31"/>
      <selection pane="topRight" activeCell="P31" sqref="P31"/>
      <selection pane="bottomLeft" activeCell="P31" sqref="P31"/>
      <selection pane="bottomRight" activeCell="D43" sqref="D43"/>
    </sheetView>
  </sheetViews>
  <sheetFormatPr defaultRowHeight="15" x14ac:dyDescent="0.2"/>
  <cols>
    <col min="1" max="1" width="38.140625" style="183" customWidth="1"/>
    <col min="2" max="2" width="6.7109375" style="124" customWidth="1"/>
    <col min="3" max="5" width="6.7109375" style="233" customWidth="1"/>
    <col min="6" max="6" width="7.85546875" style="233" customWidth="1"/>
    <col min="7" max="9" width="6.7109375" style="233" customWidth="1"/>
    <col min="10" max="10" width="6.7109375" customWidth="1"/>
    <col min="11" max="11" width="7.5703125" customWidth="1"/>
    <col min="12" max="15" width="6.7109375" customWidth="1"/>
    <col min="19" max="19" width="54.85546875" customWidth="1"/>
  </cols>
  <sheetData>
    <row r="1" spans="1:17" x14ac:dyDescent="0.2">
      <c r="A1" s="179"/>
      <c r="B1" s="119"/>
      <c r="C1" s="708"/>
      <c r="D1" s="709"/>
      <c r="E1" s="709"/>
      <c r="F1" s="709"/>
      <c r="G1" s="709"/>
    </row>
    <row r="2" spans="1:17" ht="26.25" x14ac:dyDescent="0.2">
      <c r="A2" s="179"/>
      <c r="B2" s="119"/>
      <c r="C2" s="709"/>
      <c r="D2" s="709"/>
      <c r="E2" s="709"/>
      <c r="F2" s="709"/>
      <c r="G2" s="709"/>
      <c r="H2" s="120"/>
      <c r="I2" s="120"/>
    </row>
    <row r="3" spans="1:17" ht="26.25" x14ac:dyDescent="0.2">
      <c r="A3" s="179"/>
      <c r="B3" s="119"/>
      <c r="C3" s="709"/>
      <c r="D3" s="709"/>
      <c r="E3" s="709"/>
      <c r="F3" s="709"/>
      <c r="G3" s="709"/>
      <c r="H3" s="120"/>
      <c r="I3" s="120"/>
      <c r="M3" s="710"/>
      <c r="N3" s="710"/>
      <c r="O3" s="710"/>
    </row>
    <row r="4" spans="1:17" x14ac:dyDescent="0.2">
      <c r="A4" s="180"/>
      <c r="B4" s="121"/>
      <c r="C4" s="709"/>
      <c r="D4" s="709"/>
      <c r="E4" s="709"/>
      <c r="F4" s="709"/>
      <c r="G4" s="709"/>
      <c r="M4" s="710"/>
      <c r="N4" s="710"/>
      <c r="O4" s="710"/>
    </row>
    <row r="5" spans="1:17" ht="20.25" x14ac:dyDescent="0.2">
      <c r="A5" s="179"/>
      <c r="B5" s="119"/>
      <c r="C5" s="709"/>
      <c r="D5" s="709"/>
      <c r="E5" s="709"/>
      <c r="F5" s="709"/>
      <c r="G5" s="709"/>
      <c r="H5" s="118"/>
      <c r="I5" s="118"/>
      <c r="M5" s="711"/>
      <c r="N5" s="711"/>
      <c r="O5" s="711"/>
    </row>
    <row r="6" spans="1:17" ht="24" customHeight="1" x14ac:dyDescent="0.2">
      <c r="A6" s="179"/>
      <c r="B6" s="119"/>
      <c r="C6" s="712"/>
      <c r="D6" s="713"/>
      <c r="E6" s="713"/>
      <c r="F6" s="713"/>
      <c r="G6" s="713"/>
      <c r="H6" s="232"/>
      <c r="I6" s="232"/>
      <c r="M6" s="711"/>
      <c r="N6" s="711"/>
      <c r="O6" s="711"/>
    </row>
    <row r="7" spans="1:17" ht="33" customHeight="1" x14ac:dyDescent="0.2">
      <c r="A7" s="179"/>
      <c r="B7" s="119"/>
      <c r="C7" s="118"/>
      <c r="D7" s="118"/>
    </row>
    <row r="8" spans="1:17" ht="20.25" x14ac:dyDescent="0.2">
      <c r="A8" s="179"/>
      <c r="B8" s="119"/>
      <c r="C8" s="118"/>
      <c r="D8" s="118"/>
    </row>
    <row r="9" spans="1:17" x14ac:dyDescent="0.2">
      <c r="A9" s="714" t="s">
        <v>130</v>
      </c>
      <c r="B9" s="714" t="s">
        <v>14</v>
      </c>
      <c r="C9" s="714"/>
      <c r="D9" s="714"/>
      <c r="E9" s="714"/>
      <c r="F9" s="714"/>
      <c r="G9" s="714"/>
      <c r="H9" s="714"/>
      <c r="I9" s="714"/>
      <c r="J9" s="714"/>
      <c r="K9" s="714"/>
      <c r="L9" s="714"/>
      <c r="M9" s="714"/>
      <c r="N9" s="714"/>
      <c r="O9" s="714"/>
      <c r="P9" s="11"/>
      <c r="Q9" s="11"/>
    </row>
    <row r="10" spans="1:17" x14ac:dyDescent="0.2">
      <c r="A10" s="715"/>
      <c r="B10" s="293">
        <v>80</v>
      </c>
      <c r="C10" s="293">
        <v>100</v>
      </c>
      <c r="D10" s="294">
        <v>110</v>
      </c>
      <c r="E10" s="294">
        <v>115</v>
      </c>
      <c r="F10" s="294">
        <v>120</v>
      </c>
      <c r="G10" s="294">
        <v>125</v>
      </c>
      <c r="H10" s="294">
        <v>130</v>
      </c>
      <c r="I10" s="294">
        <v>135</v>
      </c>
      <c r="J10" s="294">
        <v>140</v>
      </c>
      <c r="K10" s="294">
        <v>150</v>
      </c>
      <c r="L10" s="294">
        <v>160</v>
      </c>
      <c r="M10" s="294">
        <v>180</v>
      </c>
      <c r="N10" s="294">
        <v>200</v>
      </c>
      <c r="O10" s="294">
        <v>250</v>
      </c>
      <c r="P10" s="250"/>
      <c r="Q10" s="250"/>
    </row>
    <row r="11" spans="1:17" s="7" customFormat="1" x14ac:dyDescent="0.25">
      <c r="A11" s="292" t="s">
        <v>65</v>
      </c>
      <c r="B11" s="295"/>
      <c r="C11" s="296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1"/>
      <c r="P11" s="237"/>
      <c r="Q11" s="237"/>
    </row>
    <row r="12" spans="1:17" x14ac:dyDescent="0.2">
      <c r="A12" s="505" t="s">
        <v>131</v>
      </c>
      <c r="B12" s="479">
        <f>662*(100%-'Установка скидки'!$F$11)</f>
        <v>662</v>
      </c>
      <c r="C12" s="479">
        <f>662*(100%-'Установка скидки'!$F$11)</f>
        <v>662</v>
      </c>
      <c r="D12" s="482">
        <f>663*(100%-'Установка скидки'!$F$11)</f>
        <v>663</v>
      </c>
      <c r="E12" s="482">
        <f>689*(100%-'Установка скидки'!$F$11)</f>
        <v>689</v>
      </c>
      <c r="F12" s="482">
        <f>689*(100%-'Установка скидки'!$F$11)</f>
        <v>689</v>
      </c>
      <c r="G12" s="479" t="s">
        <v>0</v>
      </c>
      <c r="H12" s="482">
        <f>725*(100%-'Установка скидки'!$F$11)</f>
        <v>725</v>
      </c>
      <c r="I12" s="479" t="s">
        <v>0</v>
      </c>
      <c r="J12" s="479" t="s">
        <v>0</v>
      </c>
      <c r="K12" s="482">
        <f>782*(100%-'Установка скидки'!$F$11)</f>
        <v>782</v>
      </c>
      <c r="L12" s="482" t="s">
        <v>0</v>
      </c>
      <c r="M12" s="482">
        <f>1056*(100%-'Установка скидки'!$F$11)</f>
        <v>1056</v>
      </c>
      <c r="N12" s="482">
        <f>1131*(100%-'Установка скидки'!$F$11)</f>
        <v>1131</v>
      </c>
      <c r="O12" s="407">
        <f>1558*(100%-'Установка скидки'!$F$11)</f>
        <v>1558</v>
      </c>
      <c r="P12" s="238"/>
      <c r="Q12" s="239"/>
    </row>
    <row r="13" spans="1:17" s="7" customFormat="1" x14ac:dyDescent="0.25">
      <c r="A13" s="501" t="s">
        <v>66</v>
      </c>
      <c r="B13" s="413"/>
      <c r="C13" s="414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0"/>
      <c r="P13" s="237"/>
      <c r="Q13" s="237"/>
    </row>
    <row r="14" spans="1:17" x14ac:dyDescent="0.2">
      <c r="A14" s="505" t="s">
        <v>131</v>
      </c>
      <c r="B14" s="479">
        <f>311*(100%-'Установка скидки'!$F$11)</f>
        <v>311</v>
      </c>
      <c r="C14" s="479">
        <f>311*(100%-'Установка скидки'!$F$11)</f>
        <v>311</v>
      </c>
      <c r="D14" s="482">
        <f>312*(100%-'Установка скидки'!$F$11)</f>
        <v>312</v>
      </c>
      <c r="E14" s="482">
        <f>330*(100%-'Установка скидки'!$F$11)</f>
        <v>330</v>
      </c>
      <c r="F14" s="482">
        <f>330*(100%-'Установка скидки'!$F$11)</f>
        <v>330</v>
      </c>
      <c r="G14" s="482" t="s">
        <v>0</v>
      </c>
      <c r="H14" s="482">
        <f>353*(100%-'Установка скидки'!$F$11)</f>
        <v>353</v>
      </c>
      <c r="I14" s="482" t="s">
        <v>0</v>
      </c>
      <c r="J14" s="482" t="s">
        <v>0</v>
      </c>
      <c r="K14" s="482">
        <f>393*(100%-'Установка скидки'!$F$11)</f>
        <v>393</v>
      </c>
      <c r="L14" s="482" t="s">
        <v>0</v>
      </c>
      <c r="M14" s="482">
        <f>512*(100%-'Установка скидки'!$F$11)</f>
        <v>512</v>
      </c>
      <c r="N14" s="482">
        <f>562*(100%-'Установка скидки'!$F$11)</f>
        <v>562</v>
      </c>
      <c r="O14" s="407">
        <f>775*(100%-'Установка скидки'!$F$11)</f>
        <v>775</v>
      </c>
      <c r="P14" s="240"/>
      <c r="Q14" s="240"/>
    </row>
    <row r="15" spans="1:17" x14ac:dyDescent="0.25">
      <c r="A15" s="501" t="s">
        <v>170</v>
      </c>
      <c r="B15" s="413"/>
      <c r="C15" s="414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0"/>
      <c r="P15" s="240"/>
      <c r="Q15" s="240"/>
    </row>
    <row r="16" spans="1:17" x14ac:dyDescent="0.2">
      <c r="A16" s="505" t="s">
        <v>131</v>
      </c>
      <c r="B16" s="602">
        <f>311*(100%-'Установка скидки'!$F$11)</f>
        <v>311</v>
      </c>
      <c r="C16" s="602">
        <f>311*(100%-'Установка скидки'!$F$11)</f>
        <v>311</v>
      </c>
      <c r="D16" s="603">
        <f>312*(100%-'Установка скидки'!$F$11)</f>
        <v>312</v>
      </c>
      <c r="E16" s="603">
        <f>330*(100%-'Установка скидки'!$F$11)</f>
        <v>330</v>
      </c>
      <c r="F16" s="603">
        <f>330*(100%-'Установка скидки'!$F$11)</f>
        <v>330</v>
      </c>
      <c r="G16" s="603">
        <f>351*(100%-'Установка скидки'!$F$11)</f>
        <v>351</v>
      </c>
      <c r="H16" s="603">
        <f>353*(100%-'Установка скидки'!$F$11)</f>
        <v>353</v>
      </c>
      <c r="I16" s="603">
        <f>363*(100%-'Установка скидки'!$F$11)</f>
        <v>363</v>
      </c>
      <c r="J16" s="603">
        <f>373*(100%-'Установка скидки'!$F$11)</f>
        <v>373</v>
      </c>
      <c r="K16" s="603">
        <f>393*(100%-'Установка скидки'!$F$11)</f>
        <v>393</v>
      </c>
      <c r="L16" s="603">
        <f>413*(100%-'Установка скидки'!$F$11)</f>
        <v>413</v>
      </c>
      <c r="M16" s="603">
        <f>512*(100%-'Установка скидки'!$F$11)</f>
        <v>512</v>
      </c>
      <c r="N16" s="603">
        <f>562*(100%-'Установка скидки'!$F$11)</f>
        <v>562</v>
      </c>
      <c r="O16" s="407" t="s">
        <v>0</v>
      </c>
      <c r="P16" s="240"/>
      <c r="Q16" s="240"/>
    </row>
    <row r="17" spans="1:17" x14ac:dyDescent="0.2">
      <c r="A17" s="501" t="s">
        <v>196</v>
      </c>
      <c r="B17" s="498"/>
      <c r="C17" s="498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99"/>
      <c r="O17" s="442"/>
      <c r="P17" s="240"/>
      <c r="Q17" s="240"/>
    </row>
    <row r="18" spans="1:17" x14ac:dyDescent="0.2">
      <c r="A18" s="505" t="s">
        <v>132</v>
      </c>
      <c r="B18" s="498" t="s">
        <v>0</v>
      </c>
      <c r="C18" s="498" t="s">
        <v>0</v>
      </c>
      <c r="D18" s="499" t="s">
        <v>0</v>
      </c>
      <c r="E18" s="499" t="s">
        <v>0</v>
      </c>
      <c r="F18" s="499">
        <f>3285*(100%-'Установка скидки'!$F$11)</f>
        <v>3285</v>
      </c>
      <c r="G18" s="499" t="s">
        <v>0</v>
      </c>
      <c r="H18" s="499" t="s">
        <v>0</v>
      </c>
      <c r="I18" s="499" t="s">
        <v>0</v>
      </c>
      <c r="J18" s="499" t="s">
        <v>0</v>
      </c>
      <c r="K18" s="499" t="s">
        <v>0</v>
      </c>
      <c r="L18" s="499" t="s">
        <v>0</v>
      </c>
      <c r="M18" s="499" t="s">
        <v>0</v>
      </c>
      <c r="N18" s="499" t="s">
        <v>0</v>
      </c>
      <c r="O18" s="442" t="s">
        <v>0</v>
      </c>
      <c r="P18" s="240"/>
      <c r="Q18" s="240"/>
    </row>
    <row r="19" spans="1:17" s="7" customFormat="1" x14ac:dyDescent="0.25">
      <c r="A19" s="501" t="s">
        <v>68</v>
      </c>
      <c r="B19" s="413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0"/>
      <c r="P19" s="237"/>
      <c r="Q19" s="237"/>
    </row>
    <row r="20" spans="1:17" x14ac:dyDescent="0.2">
      <c r="A20" s="505" t="s">
        <v>131</v>
      </c>
      <c r="B20" s="604">
        <f>280*(100%-'Установка скидки'!$F$11)</f>
        <v>280</v>
      </c>
      <c r="C20" s="604">
        <f>280*(100%-'Установка скидки'!$F$11)</f>
        <v>280</v>
      </c>
      <c r="D20" s="604">
        <f>307*(100%-'Установка скидки'!$F$11)</f>
        <v>307</v>
      </c>
      <c r="E20" s="604">
        <f>312*(100%-'Установка скидки'!$F$11)</f>
        <v>312</v>
      </c>
      <c r="F20" s="604">
        <f>312*(100%-'Установка скидки'!$F$11)</f>
        <v>312</v>
      </c>
      <c r="G20" s="604">
        <f>322*(100%-'Установка скидки'!$F$11)</f>
        <v>322</v>
      </c>
      <c r="H20" s="604">
        <f>340*(100%-'Установка скидки'!$F$11)</f>
        <v>340</v>
      </c>
      <c r="I20" s="604">
        <f>340*(100%-'Установка скидки'!$F$11)</f>
        <v>340</v>
      </c>
      <c r="J20" s="604">
        <f>349*(100%-'Установка скидки'!$F$11)</f>
        <v>349</v>
      </c>
      <c r="K20" s="604">
        <f>415*(100%-'Установка скидки'!$F$11)</f>
        <v>415</v>
      </c>
      <c r="L20" s="604">
        <f>442*(100%-'Установка скидки'!$F$11)</f>
        <v>442</v>
      </c>
      <c r="M20" s="604">
        <f>586*(100%-'Установка скидки'!$F$11)</f>
        <v>586</v>
      </c>
      <c r="N20" s="604">
        <f>650*(100%-'Установка скидки'!$F$11)</f>
        <v>650</v>
      </c>
      <c r="O20" s="416" t="s">
        <v>0</v>
      </c>
      <c r="P20" s="239"/>
      <c r="Q20" s="240"/>
    </row>
    <row r="21" spans="1:17" x14ac:dyDescent="0.2">
      <c r="A21" s="505" t="s">
        <v>132</v>
      </c>
      <c r="B21" s="417" t="s">
        <v>0</v>
      </c>
      <c r="C21" s="417" t="s">
        <v>0</v>
      </c>
      <c r="D21" s="418" t="s">
        <v>0</v>
      </c>
      <c r="E21" s="418">
        <f>528*(100%-'Установка скидки'!$F$11)</f>
        <v>528</v>
      </c>
      <c r="F21" s="418">
        <f>528*(100%-'Установка скидки'!$F$11)</f>
        <v>528</v>
      </c>
      <c r="G21" s="417" t="s">
        <v>0</v>
      </c>
      <c r="H21" s="418">
        <f>566*(100%-'Установка скидки'!$F$11)</f>
        <v>566</v>
      </c>
      <c r="I21" s="417" t="s">
        <v>0</v>
      </c>
      <c r="J21" s="417" t="s">
        <v>0</v>
      </c>
      <c r="K21" s="418">
        <f>624*(100%-'Установка скидки'!$F$11)</f>
        <v>624</v>
      </c>
      <c r="L21" s="418" t="s">
        <v>0</v>
      </c>
      <c r="M21" s="418">
        <f>894*(100%-'Установка скидки'!$F$11)</f>
        <v>894</v>
      </c>
      <c r="N21" s="418">
        <f>976*(100%-'Установка скидки'!$F$11)</f>
        <v>976</v>
      </c>
      <c r="O21" s="418">
        <f>1169*(100%-'Установка скидки'!$F$11)</f>
        <v>1169</v>
      </c>
      <c r="P21" s="239"/>
      <c r="Q21" s="239"/>
    </row>
    <row r="22" spans="1:17" s="7" customFormat="1" x14ac:dyDescent="0.25">
      <c r="A22" s="501" t="s">
        <v>69</v>
      </c>
      <c r="B22" s="413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0"/>
      <c r="P22" s="237"/>
      <c r="Q22" s="237"/>
    </row>
    <row r="23" spans="1:17" x14ac:dyDescent="0.2">
      <c r="A23" s="505" t="s">
        <v>131</v>
      </c>
      <c r="B23" s="604">
        <f>362*(100%-'Установка скидки'!$F$11)</f>
        <v>362</v>
      </c>
      <c r="C23" s="604">
        <f>362*(100%-'Установка скидки'!$F$11)</f>
        <v>362</v>
      </c>
      <c r="D23" s="604">
        <f>398*(100%-'Установка скидки'!$F$11)</f>
        <v>398</v>
      </c>
      <c r="E23" s="604">
        <f>425*(100%-'Установка скидки'!$F$11)</f>
        <v>425</v>
      </c>
      <c r="F23" s="604">
        <f>425*(100%-'Установка скидки'!$F$11)</f>
        <v>425</v>
      </c>
      <c r="G23" s="604">
        <f>469*(100%-'Установка скидки'!$F$11)</f>
        <v>469</v>
      </c>
      <c r="H23" s="604">
        <f>472*(100%-'Установка скидки'!$F$11)</f>
        <v>472</v>
      </c>
      <c r="I23" s="604">
        <f>472*(100%-'Установка скидки'!$F$11)</f>
        <v>472</v>
      </c>
      <c r="J23" s="604">
        <f>506*(100%-'Установка скидки'!$F$11)</f>
        <v>506</v>
      </c>
      <c r="K23" s="604">
        <f>543*(100%-'Установка скидки'!$F$11)</f>
        <v>543</v>
      </c>
      <c r="L23" s="604">
        <f>654*(100%-'Установка скидки'!$F$11)</f>
        <v>654</v>
      </c>
      <c r="M23" s="604">
        <f>832*(100%-'Установка скидки'!$F$11)</f>
        <v>832</v>
      </c>
      <c r="N23" s="604">
        <f>842*(100%-'Установка скидки'!$F$11)</f>
        <v>842</v>
      </c>
      <c r="O23" s="605" t="s">
        <v>0</v>
      </c>
      <c r="P23" s="239"/>
      <c r="Q23" s="240"/>
    </row>
    <row r="24" spans="1:17" x14ac:dyDescent="0.2">
      <c r="A24" s="505" t="s">
        <v>132</v>
      </c>
      <c r="B24" s="606" t="s">
        <v>0</v>
      </c>
      <c r="C24" s="606" t="s">
        <v>0</v>
      </c>
      <c r="D24" s="607" t="s">
        <v>0</v>
      </c>
      <c r="E24" s="607">
        <f>644*(100%-'Установка скидки'!$F$11)</f>
        <v>644</v>
      </c>
      <c r="F24" s="607">
        <f>644*(100%-'Установка скидки'!$F$11)</f>
        <v>644</v>
      </c>
      <c r="G24" s="606" t="s">
        <v>0</v>
      </c>
      <c r="H24" s="607">
        <f>695*(100%-'Установка скидки'!$F$11)</f>
        <v>695</v>
      </c>
      <c r="I24" s="606" t="s">
        <v>0</v>
      </c>
      <c r="J24" s="606" t="s">
        <v>0</v>
      </c>
      <c r="K24" s="607">
        <f>774*(100%-'Установка скидки'!$F$11)</f>
        <v>774</v>
      </c>
      <c r="L24" s="607" t="s">
        <v>0</v>
      </c>
      <c r="M24" s="607">
        <f>1256*(100%-'Установка скидки'!$F$11)</f>
        <v>1256</v>
      </c>
      <c r="N24" s="607">
        <f>1377*(100%-'Установка скидки'!$F$11)</f>
        <v>1377</v>
      </c>
      <c r="O24" s="608">
        <f>1668*(100%-'Установка скидки'!$F$11)</f>
        <v>1668</v>
      </c>
      <c r="P24" s="239"/>
      <c r="Q24" s="240"/>
    </row>
    <row r="25" spans="1:17" x14ac:dyDescent="0.25">
      <c r="A25" s="506" t="s">
        <v>67</v>
      </c>
      <c r="B25" s="413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0"/>
      <c r="P25" s="11"/>
      <c r="Q25" s="11"/>
    </row>
    <row r="26" spans="1:17" x14ac:dyDescent="0.2">
      <c r="A26" s="505" t="s">
        <v>131</v>
      </c>
      <c r="B26" s="445">
        <f>560*(100%-'Установка скидки'!$F$11)</f>
        <v>560</v>
      </c>
      <c r="C26" s="445">
        <f>624*(100%-'Установка скидки'!$F$11)</f>
        <v>624</v>
      </c>
      <c r="D26" s="445">
        <f>688*(100%-'Установка скидки'!$F$11)</f>
        <v>688</v>
      </c>
      <c r="E26" s="419" t="s">
        <v>0</v>
      </c>
      <c r="F26" s="419" t="s">
        <v>0</v>
      </c>
      <c r="G26" s="419" t="s">
        <v>0</v>
      </c>
      <c r="H26" s="419" t="s">
        <v>0</v>
      </c>
      <c r="I26" s="419" t="s">
        <v>0</v>
      </c>
      <c r="J26" s="419" t="s">
        <v>0</v>
      </c>
      <c r="K26" s="419" t="s">
        <v>0</v>
      </c>
      <c r="L26" s="419" t="s">
        <v>0</v>
      </c>
      <c r="M26" s="419" t="s">
        <v>0</v>
      </c>
      <c r="N26" s="419" t="s">
        <v>0</v>
      </c>
      <c r="O26" s="419" t="s">
        <v>0</v>
      </c>
      <c r="P26" s="239"/>
      <c r="Q26" s="240"/>
    </row>
    <row r="27" spans="1:17" x14ac:dyDescent="0.2">
      <c r="A27" s="505" t="s">
        <v>132</v>
      </c>
      <c r="B27" s="417" t="s">
        <v>0</v>
      </c>
      <c r="C27" s="417" t="s">
        <v>0</v>
      </c>
      <c r="D27" s="418" t="s">
        <v>0</v>
      </c>
      <c r="E27" s="445">
        <f>706*(100%-'Установка скидки'!$F$11)</f>
        <v>706</v>
      </c>
      <c r="F27" s="445">
        <f>706*(100%-'Установка скидки'!$F$11)</f>
        <v>706</v>
      </c>
      <c r="G27" s="445">
        <f>768*(100%-'Установка скидки'!$F$11)</f>
        <v>768</v>
      </c>
      <c r="H27" s="445">
        <f>771*(100%-'Установка скидки'!$F$11)</f>
        <v>771</v>
      </c>
      <c r="I27" s="445">
        <f>811*(100%-'Установка скидки'!$F$11)</f>
        <v>811</v>
      </c>
      <c r="J27" s="445">
        <f>825*(100%-'Установка скидки'!$F$11)</f>
        <v>825</v>
      </c>
      <c r="K27" s="445">
        <f>876*(100%-'Установка скидки'!$F$11)</f>
        <v>876</v>
      </c>
      <c r="L27" s="445">
        <f>931*(100%-'Установка скидки'!$F$11)</f>
        <v>931</v>
      </c>
      <c r="M27" s="445">
        <f>1043*(100%-'Установка скидки'!$F$11)</f>
        <v>1043</v>
      </c>
      <c r="N27" s="445">
        <f>1163*(100%-'Установка скидки'!$F$11)</f>
        <v>1163</v>
      </c>
      <c r="O27" s="608">
        <f>1476*(100%-'Установка скидки'!$F$11)</f>
        <v>1476</v>
      </c>
      <c r="P27" s="241"/>
      <c r="Q27" s="242"/>
    </row>
    <row r="28" spans="1:17" ht="30" x14ac:dyDescent="0.2">
      <c r="A28" s="618" t="s">
        <v>223</v>
      </c>
      <c r="B28" s="571"/>
      <c r="C28" s="572"/>
      <c r="D28" s="575"/>
      <c r="E28" s="576"/>
      <c r="F28" s="576"/>
      <c r="G28" s="576"/>
      <c r="H28" s="576"/>
      <c r="I28" s="576"/>
      <c r="J28" s="576"/>
      <c r="K28" s="576"/>
      <c r="L28" s="576"/>
      <c r="M28" s="573"/>
      <c r="N28" s="573"/>
      <c r="O28" s="574"/>
      <c r="P28" s="241"/>
      <c r="Q28" s="242"/>
    </row>
    <row r="29" spans="1:17" x14ac:dyDescent="0.2">
      <c r="A29" s="505" t="s">
        <v>132</v>
      </c>
      <c r="B29" s="498" t="s">
        <v>0</v>
      </c>
      <c r="C29" s="498" t="s">
        <v>0</v>
      </c>
      <c r="D29" s="499" t="s">
        <v>0</v>
      </c>
      <c r="E29" s="499" t="s">
        <v>0</v>
      </c>
      <c r="F29" s="481">
        <f>5500*(100%-'Установка скидки'!$F$11)</f>
        <v>5500</v>
      </c>
      <c r="G29" s="499" t="s">
        <v>0</v>
      </c>
      <c r="H29" s="499" t="s">
        <v>0</v>
      </c>
      <c r="I29" s="499" t="s">
        <v>0</v>
      </c>
      <c r="J29" s="499" t="s">
        <v>0</v>
      </c>
      <c r="K29" s="499" t="s">
        <v>0</v>
      </c>
      <c r="L29" s="499" t="s">
        <v>0</v>
      </c>
      <c r="M29" s="499" t="s">
        <v>0</v>
      </c>
      <c r="N29" s="499" t="s">
        <v>0</v>
      </c>
      <c r="O29" s="442" t="s">
        <v>0</v>
      </c>
      <c r="P29" s="241"/>
      <c r="Q29" s="242"/>
    </row>
    <row r="30" spans="1:17" ht="30" x14ac:dyDescent="0.2">
      <c r="A30" s="618" t="s">
        <v>224</v>
      </c>
      <c r="B30" s="571"/>
      <c r="C30" s="572"/>
      <c r="D30" s="575"/>
      <c r="E30" s="576"/>
      <c r="F30" s="576"/>
      <c r="G30" s="576"/>
      <c r="H30" s="576"/>
      <c r="I30" s="576"/>
      <c r="J30" s="576"/>
      <c r="K30" s="576"/>
      <c r="L30" s="576"/>
      <c r="M30" s="573"/>
      <c r="N30" s="573"/>
      <c r="O30" s="574"/>
      <c r="P30" s="241"/>
      <c r="Q30" s="242"/>
    </row>
    <row r="31" spans="1:17" x14ac:dyDescent="0.2">
      <c r="A31" s="505" t="s">
        <v>132</v>
      </c>
      <c r="B31" s="498" t="s">
        <v>0</v>
      </c>
      <c r="C31" s="498" t="s">
        <v>0</v>
      </c>
      <c r="D31" s="499" t="s">
        <v>0</v>
      </c>
      <c r="E31" s="499" t="s">
        <v>0</v>
      </c>
      <c r="F31" s="481">
        <f>4950*(100%-'Установка скидки'!$F$11)</f>
        <v>4950</v>
      </c>
      <c r="G31" s="499" t="s">
        <v>0</v>
      </c>
      <c r="H31" s="499" t="s">
        <v>0</v>
      </c>
      <c r="I31" s="499" t="s">
        <v>0</v>
      </c>
      <c r="J31" s="499" t="s">
        <v>0</v>
      </c>
      <c r="K31" s="499" t="s">
        <v>0</v>
      </c>
      <c r="L31" s="499" t="s">
        <v>0</v>
      </c>
      <c r="M31" s="499" t="s">
        <v>0</v>
      </c>
      <c r="N31" s="499" t="s">
        <v>0</v>
      </c>
      <c r="O31" s="442" t="s">
        <v>0</v>
      </c>
      <c r="P31" s="241"/>
      <c r="Q31" s="242"/>
    </row>
    <row r="32" spans="1:17" s="7" customFormat="1" x14ac:dyDescent="0.25">
      <c r="A32" s="501" t="s">
        <v>71</v>
      </c>
      <c r="B32" s="413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0"/>
      <c r="P32" s="237"/>
      <c r="Q32" s="237"/>
    </row>
    <row r="33" spans="1:19" s="7" customFormat="1" x14ac:dyDescent="0.2">
      <c r="A33" s="505" t="s">
        <v>131</v>
      </c>
      <c r="B33" s="418">
        <f>630*(100%-'Установка скидки'!$F$11)</f>
        <v>630</v>
      </c>
      <c r="C33" s="419" t="s">
        <v>0</v>
      </c>
      <c r="D33" s="418">
        <f>854*(100%-'Установка скидки'!$F$11)</f>
        <v>854</v>
      </c>
      <c r="E33" s="419" t="s">
        <v>0</v>
      </c>
      <c r="F33" s="419" t="s">
        <v>0</v>
      </c>
      <c r="G33" s="419" t="s">
        <v>0</v>
      </c>
      <c r="H33" s="547">
        <f>943*(100%-'Установка скидки'!$F$11)</f>
        <v>943</v>
      </c>
      <c r="I33" s="419" t="s">
        <v>0</v>
      </c>
      <c r="J33" s="419" t="s">
        <v>0</v>
      </c>
      <c r="K33" s="419" t="s">
        <v>0</v>
      </c>
      <c r="L33" s="419" t="s">
        <v>0</v>
      </c>
      <c r="M33" s="419" t="s">
        <v>0</v>
      </c>
      <c r="N33" s="416" t="s">
        <v>0</v>
      </c>
      <c r="O33" s="419" t="s">
        <v>0</v>
      </c>
      <c r="P33" s="243"/>
      <c r="Q33" s="237"/>
    </row>
    <row r="34" spans="1:19" s="7" customFormat="1" x14ac:dyDescent="0.2">
      <c r="A34" s="505" t="s">
        <v>132</v>
      </c>
      <c r="B34" s="417" t="s">
        <v>0</v>
      </c>
      <c r="C34" s="417" t="s">
        <v>0</v>
      </c>
      <c r="D34" s="418" t="s">
        <v>0</v>
      </c>
      <c r="E34" s="418">
        <f>1262*(100%-'Установка скидки'!$F$11)</f>
        <v>1262</v>
      </c>
      <c r="F34" s="418">
        <f>1262*(100%-'Установка скидки'!$F$11)</f>
        <v>1262</v>
      </c>
      <c r="G34" s="417" t="s">
        <v>0</v>
      </c>
      <c r="H34" s="418">
        <f>1406*(100%-'Установка скидки'!$F$11)</f>
        <v>1406</v>
      </c>
      <c r="I34" s="417" t="s">
        <v>0</v>
      </c>
      <c r="J34" s="417" t="s">
        <v>0</v>
      </c>
      <c r="K34" s="418">
        <f>1738*(100%-'Установка скидки'!$F$11)</f>
        <v>1738</v>
      </c>
      <c r="L34" s="417" t="s">
        <v>0</v>
      </c>
      <c r="M34" s="418">
        <f>2237*(100%-'Установка скидки'!$F$11)</f>
        <v>2237</v>
      </c>
      <c r="N34" s="418">
        <f>2579*(100%-'Установка скидки'!$F$11)</f>
        <v>2579</v>
      </c>
      <c r="O34" s="480">
        <f>3401*(100%-'Установка скидки'!$F$11)</f>
        <v>3401</v>
      </c>
      <c r="P34" s="244"/>
      <c r="Q34" s="237"/>
    </row>
    <row r="35" spans="1:19" s="7" customFormat="1" x14ac:dyDescent="0.25">
      <c r="A35" s="501" t="s">
        <v>162</v>
      </c>
      <c r="B35" s="413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0"/>
      <c r="P35" s="237"/>
      <c r="Q35" s="237"/>
    </row>
    <row r="36" spans="1:19" s="7" customFormat="1" x14ac:dyDescent="0.2">
      <c r="A36" s="505" t="s">
        <v>131</v>
      </c>
      <c r="B36" s="418">
        <f>630*(100%-'Установка скидки'!$F$11)</f>
        <v>630</v>
      </c>
      <c r="C36" s="602">
        <f>765*(100%-'Установка скидки'!$F$11)</f>
        <v>765</v>
      </c>
      <c r="D36" s="602">
        <f>854*(100%-'Установка скидки'!$F$11)</f>
        <v>854</v>
      </c>
      <c r="E36" s="609">
        <f>877*(100%-'Установка скидки'!$F$11)</f>
        <v>877</v>
      </c>
      <c r="F36" s="609">
        <f>877*(100%-'Установка скидки'!$F$11)</f>
        <v>877</v>
      </c>
      <c r="G36" s="609">
        <f>990*(100%-'Установка скидки'!$F$11)</f>
        <v>990</v>
      </c>
      <c r="H36" s="602">
        <f>1005*(100%-'Установка скидки'!$F$11)</f>
        <v>1005</v>
      </c>
      <c r="I36" s="602">
        <f>1120*(100%-'Установка скидки'!$F$11)</f>
        <v>1120</v>
      </c>
      <c r="J36" s="602">
        <f>1222*(100%-'Установка скидки'!$F$11)</f>
        <v>1222</v>
      </c>
      <c r="K36" s="609">
        <f>1222*(100%-'Установка скидки'!$F$11)</f>
        <v>1222</v>
      </c>
      <c r="L36" s="609">
        <f>1329*(100%-'Установка скидки'!$F$11)</f>
        <v>1329</v>
      </c>
      <c r="M36" s="609">
        <f>1634*(100%-'Установка скидки'!$F$11)</f>
        <v>1634</v>
      </c>
      <c r="N36" s="602">
        <f>1921*(100%-'Установка скидки'!$F$11)</f>
        <v>1921</v>
      </c>
      <c r="O36" s="420" t="s">
        <v>0</v>
      </c>
      <c r="P36" s="237"/>
      <c r="Q36" s="237"/>
    </row>
    <row r="37" spans="1:19" s="7" customFormat="1" x14ac:dyDescent="0.25">
      <c r="A37" s="501" t="s">
        <v>70</v>
      </c>
      <c r="B37" s="413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0"/>
      <c r="P37" s="704"/>
      <c r="Q37" s="704"/>
      <c r="R37" s="704"/>
      <c r="S37" s="704"/>
    </row>
    <row r="38" spans="1:19" s="7" customFormat="1" x14ac:dyDescent="0.2">
      <c r="A38" s="505" t="s">
        <v>131</v>
      </c>
      <c r="B38" s="418">
        <f>441*(100%-'Установка скидки'!$F$11)</f>
        <v>441</v>
      </c>
      <c r="C38" s="416">
        <f>475*(100%-'Установка скидки'!$F$11)</f>
        <v>475</v>
      </c>
      <c r="D38" s="416">
        <f>524*(100%-'Установка скидки'!$F$11)</f>
        <v>524</v>
      </c>
      <c r="E38" s="547">
        <f>546*(100%-'Установка скидки'!$F$11)</f>
        <v>546</v>
      </c>
      <c r="F38" s="419" t="s">
        <v>0</v>
      </c>
      <c r="G38" s="419" t="s">
        <v>0</v>
      </c>
      <c r="H38" s="419" t="s">
        <v>0</v>
      </c>
      <c r="I38" s="419" t="s">
        <v>0</v>
      </c>
      <c r="J38" s="419" t="s">
        <v>0</v>
      </c>
      <c r="K38" s="419" t="s">
        <v>0</v>
      </c>
      <c r="L38" s="419" t="s">
        <v>0</v>
      </c>
      <c r="M38" s="416" t="s">
        <v>0</v>
      </c>
      <c r="N38" s="416" t="s">
        <v>0</v>
      </c>
      <c r="O38" s="419" t="s">
        <v>0</v>
      </c>
      <c r="P38" s="245"/>
      <c r="Q38" s="245"/>
    </row>
    <row r="39" spans="1:19" s="7" customFormat="1" x14ac:dyDescent="0.2">
      <c r="A39" s="505" t="s">
        <v>132</v>
      </c>
      <c r="B39" s="417" t="s">
        <v>0</v>
      </c>
      <c r="C39" s="417" t="s">
        <v>0</v>
      </c>
      <c r="D39" s="417" t="s">
        <v>0</v>
      </c>
      <c r="E39" s="418">
        <f>920*(100%-'Установка скидки'!$F$11)</f>
        <v>920</v>
      </c>
      <c r="F39" s="418">
        <f>920*(100%-'Установка скидки'!$F$11)</f>
        <v>920</v>
      </c>
      <c r="G39" s="417" t="s">
        <v>0</v>
      </c>
      <c r="H39" s="418">
        <f>1006*(100%-'Установка скидки'!$F$11)</f>
        <v>1006</v>
      </c>
      <c r="I39" s="417" t="s">
        <v>0</v>
      </c>
      <c r="J39" s="417" t="s">
        <v>0</v>
      </c>
      <c r="K39" s="418">
        <f>1316*(100%-'Установка скидки'!$F$11)</f>
        <v>1316</v>
      </c>
      <c r="L39" s="417" t="s">
        <v>0</v>
      </c>
      <c r="M39" s="418">
        <f>1567*(100%-'Установка скидки'!$F$11)</f>
        <v>1567</v>
      </c>
      <c r="N39" s="418">
        <f>1731*(100%-'Установка скидки'!$F$11)</f>
        <v>1731</v>
      </c>
      <c r="O39" s="480">
        <f>2470*(100%-'Установка скидки'!$F$11)</f>
        <v>2470</v>
      </c>
      <c r="P39" s="246"/>
      <c r="Q39" s="246"/>
    </row>
    <row r="40" spans="1:19" s="7" customFormat="1" x14ac:dyDescent="0.25">
      <c r="A40" s="501" t="s">
        <v>163</v>
      </c>
      <c r="B40" s="413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0"/>
      <c r="P40" s="237"/>
      <c r="Q40" s="237"/>
    </row>
    <row r="41" spans="1:19" s="7" customFormat="1" x14ac:dyDescent="0.2">
      <c r="A41" s="505" t="s">
        <v>131</v>
      </c>
      <c r="B41" s="418">
        <f>441*(100%-'Установка скидки'!$F$11)</f>
        <v>441</v>
      </c>
      <c r="C41" s="602">
        <f>475*(100%-'Установка скидки'!$F$11)</f>
        <v>475</v>
      </c>
      <c r="D41" s="602">
        <f>524*(100%-'Установка скидки'!$F$11)</f>
        <v>524</v>
      </c>
      <c r="E41" s="609">
        <f>546*(100%-'Установка скидки'!$F$11)</f>
        <v>546</v>
      </c>
      <c r="F41" s="609">
        <f>546*(100%-'Установка скидки'!$F$11)</f>
        <v>546</v>
      </c>
      <c r="G41" s="609">
        <f>563*(100%-'Установка скидки'!$F$11)</f>
        <v>563</v>
      </c>
      <c r="H41" s="602">
        <f>581*(100%-'Установка скидки'!$F$11)</f>
        <v>581</v>
      </c>
      <c r="I41" s="602">
        <f>669*(100%-'Установка скидки'!$F$11)</f>
        <v>669</v>
      </c>
      <c r="J41" s="602">
        <f>686*(100%-'Установка скидки'!$F$11)</f>
        <v>686</v>
      </c>
      <c r="K41" s="609">
        <f>722*(100%-'Установка скидки'!$F$11)</f>
        <v>722</v>
      </c>
      <c r="L41" s="609">
        <f>753*(100%-'Установка скидки'!$F$11)</f>
        <v>753</v>
      </c>
      <c r="M41" s="609">
        <f>933*(100%-'Установка скидки'!$F$11)</f>
        <v>933</v>
      </c>
      <c r="N41" s="602">
        <f>1048*(100%-'Установка скидки'!$F$11)</f>
        <v>1048</v>
      </c>
      <c r="O41" s="420" t="s">
        <v>0</v>
      </c>
      <c r="P41" s="237"/>
      <c r="Q41" s="237"/>
    </row>
    <row r="42" spans="1:19" s="7" customFormat="1" x14ac:dyDescent="0.25">
      <c r="A42" s="501" t="s">
        <v>72</v>
      </c>
      <c r="B42" s="413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0"/>
      <c r="P42" s="237"/>
      <c r="Q42" s="237"/>
    </row>
    <row r="43" spans="1:19" s="7" customFormat="1" x14ac:dyDescent="0.2">
      <c r="A43" s="505" t="s">
        <v>131</v>
      </c>
      <c r="B43" s="604">
        <f>425*(100%-'Установка скидки'!$F$11)</f>
        <v>425</v>
      </c>
      <c r="C43" s="604">
        <f>425*(100%-'Установка скидки'!$F$11)</f>
        <v>425</v>
      </c>
      <c r="D43" s="604">
        <f>440*(100%-'Установка скидки'!$F$11)</f>
        <v>440</v>
      </c>
      <c r="E43" s="604">
        <f>450*(100%-'Установка скидки'!$F$11)</f>
        <v>450</v>
      </c>
      <c r="F43" s="604">
        <f>450*(100%-'Установка скидки'!$F$11)</f>
        <v>450</v>
      </c>
      <c r="G43" s="604">
        <f>508*(100%-'Установка скидки'!$F$11)</f>
        <v>508</v>
      </c>
      <c r="H43" s="604">
        <f>510*(100%-'Установка скидки'!$F$11)</f>
        <v>510</v>
      </c>
      <c r="I43" s="604">
        <f>540*(100%-'Установка скидки'!$F$11)</f>
        <v>540</v>
      </c>
      <c r="J43" s="604">
        <f>550*(100%-'Установка скидки'!$F$11)</f>
        <v>550</v>
      </c>
      <c r="K43" s="604">
        <f>588*(100%-'Установка скидки'!$F$11)</f>
        <v>588</v>
      </c>
      <c r="L43" s="604">
        <f>639*(100%-'Установка скидки'!$F$11)</f>
        <v>639</v>
      </c>
      <c r="M43" s="604">
        <f>718*(100%-'Установка скидки'!$F$11)</f>
        <v>718</v>
      </c>
      <c r="N43" s="604">
        <f>776*(100%-'Установка скидки'!$F$11)</f>
        <v>776</v>
      </c>
      <c r="O43" s="604">
        <f>987*(100%-'Установка скидки'!$F$11)</f>
        <v>987</v>
      </c>
      <c r="P43" s="240"/>
      <c r="Q43" s="240"/>
    </row>
    <row r="44" spans="1:19" s="7" customFormat="1" x14ac:dyDescent="0.2">
      <c r="A44" s="505" t="s">
        <v>132</v>
      </c>
      <c r="B44" s="606" t="s">
        <v>0</v>
      </c>
      <c r="C44" s="606" t="s">
        <v>0</v>
      </c>
      <c r="D44" s="606" t="s">
        <v>0</v>
      </c>
      <c r="E44" s="607">
        <f>760*(100%-'Установка скидки'!$F$11)</f>
        <v>760</v>
      </c>
      <c r="F44" s="607">
        <f>760*(100%-'Установка скидки'!$F$11)</f>
        <v>760</v>
      </c>
      <c r="G44" s="607" t="s">
        <v>0</v>
      </c>
      <c r="H44" s="607">
        <f>853*(100%-'Установка скидки'!$F$11)</f>
        <v>853</v>
      </c>
      <c r="I44" s="607" t="s">
        <v>0</v>
      </c>
      <c r="J44" s="607" t="s">
        <v>0</v>
      </c>
      <c r="K44" s="607">
        <f>982*(100%-'Установка скидки'!$F$11)</f>
        <v>982</v>
      </c>
      <c r="L44" s="607" t="s">
        <v>0</v>
      </c>
      <c r="M44" s="607">
        <f>1173*(100%-'Установка скидки'!$F$11)</f>
        <v>1173</v>
      </c>
      <c r="N44" s="607">
        <f>1299*(100%-'Установка скидки'!$F$11)</f>
        <v>1299</v>
      </c>
      <c r="O44" s="608">
        <f>1611*(100%-'Установка скидки'!$F$11)</f>
        <v>1611</v>
      </c>
      <c r="P44" s="237"/>
      <c r="Q44" s="237"/>
    </row>
    <row r="45" spans="1:19" s="7" customFormat="1" x14ac:dyDescent="0.25">
      <c r="A45" s="501" t="s">
        <v>73</v>
      </c>
      <c r="B45" s="413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0"/>
      <c r="P45" s="237"/>
      <c r="Q45" s="237"/>
    </row>
    <row r="46" spans="1:19" x14ac:dyDescent="0.2">
      <c r="A46" s="505" t="s">
        <v>131</v>
      </c>
      <c r="B46" s="416">
        <f>188*(100%-'Установка скидки'!$F$11)</f>
        <v>188</v>
      </c>
      <c r="C46" s="416">
        <f>188*(100%-'Установка скидки'!$F$11)</f>
        <v>188</v>
      </c>
      <c r="D46" s="416">
        <f>202*(100%-'Установка скидки'!$F$11)</f>
        <v>202</v>
      </c>
      <c r="E46" s="416">
        <f>206*(100%-'Установка скидки'!$F$11)</f>
        <v>206</v>
      </c>
      <c r="F46" s="416">
        <f>206*(100%-'Установка скидки'!$F$11)</f>
        <v>206</v>
      </c>
      <c r="G46" s="416">
        <f>220*(100%-'Установка скидки'!$F$11)</f>
        <v>220</v>
      </c>
      <c r="H46" s="416">
        <f>223*(100%-'Установка скидки'!$F$11)</f>
        <v>223</v>
      </c>
      <c r="I46" s="416">
        <f>229*(100%-'Установка скидки'!$F$11)</f>
        <v>229</v>
      </c>
      <c r="J46" s="416">
        <f>236*(100%-'Установка скидки'!$F$11)</f>
        <v>236</v>
      </c>
      <c r="K46" s="416">
        <f>252*(100%-'Установка скидки'!$F$11)</f>
        <v>252</v>
      </c>
      <c r="L46" s="416">
        <f>274*(100%-'Установка скидки'!$F$11)</f>
        <v>274</v>
      </c>
      <c r="M46" s="419" t="s">
        <v>0</v>
      </c>
      <c r="N46" s="419" t="s">
        <v>0</v>
      </c>
      <c r="O46" s="419" t="s">
        <v>0</v>
      </c>
      <c r="P46" s="705"/>
      <c r="Q46" s="706"/>
      <c r="R46" s="706"/>
      <c r="S46" s="706"/>
    </row>
    <row r="47" spans="1:19" s="7" customFormat="1" x14ac:dyDescent="0.2">
      <c r="A47" s="505" t="s">
        <v>132</v>
      </c>
      <c r="B47" s="417" t="s">
        <v>0</v>
      </c>
      <c r="C47" s="417" t="s">
        <v>0</v>
      </c>
      <c r="D47" s="417" t="s">
        <v>0</v>
      </c>
      <c r="E47" s="416">
        <f>329*(100%-'Установка скидки'!$F$11)</f>
        <v>329</v>
      </c>
      <c r="F47" s="416">
        <f>329*(100%-'Установка скидки'!$F$11)</f>
        <v>329</v>
      </c>
      <c r="G47" s="418" t="s">
        <v>0</v>
      </c>
      <c r="H47" s="416">
        <f>343*(100%-'Установка скидки'!$F$11)</f>
        <v>343</v>
      </c>
      <c r="I47" s="418" t="s">
        <v>0</v>
      </c>
      <c r="J47" s="418" t="s">
        <v>0</v>
      </c>
      <c r="K47" s="416">
        <f>406*(100%-'Установка скидки'!$F$11)</f>
        <v>406</v>
      </c>
      <c r="L47" s="418" t="s">
        <v>0</v>
      </c>
      <c r="M47" s="416">
        <f>479*(100%-'Установка скидки'!$F$11)</f>
        <v>479</v>
      </c>
      <c r="N47" s="416">
        <f>524*(100%-'Установка скидки'!$F$11)</f>
        <v>524</v>
      </c>
      <c r="O47" s="416">
        <f>652*(100%-'Установка скидки'!$F$11)</f>
        <v>652</v>
      </c>
      <c r="P47" s="705"/>
      <c r="Q47" s="706"/>
      <c r="R47" s="706"/>
      <c r="S47" s="706"/>
    </row>
    <row r="48" spans="1:19" s="7" customFormat="1" x14ac:dyDescent="0.25">
      <c r="A48" s="501" t="s">
        <v>74</v>
      </c>
      <c r="B48" s="413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0"/>
      <c r="P48" s="237"/>
      <c r="Q48" s="237"/>
    </row>
    <row r="49" spans="1:25" s="7" customFormat="1" x14ac:dyDescent="0.2">
      <c r="A49" s="505" t="s">
        <v>131</v>
      </c>
      <c r="B49" s="604">
        <f>292*(100%-'Установка скидки'!$F$11)</f>
        <v>292</v>
      </c>
      <c r="C49" s="604">
        <f>292*(100%-'Установка скидки'!$F$11)</f>
        <v>292</v>
      </c>
      <c r="D49" s="604">
        <f>317*(100%-'Установка скидки'!$F$11)</f>
        <v>317</v>
      </c>
      <c r="E49" s="604">
        <f>325*(100%-'Установка скидки'!$F$11)</f>
        <v>325</v>
      </c>
      <c r="F49" s="604">
        <f>335*(100%-'Установка скидки'!$F$11)</f>
        <v>335</v>
      </c>
      <c r="G49" s="604">
        <f>364*(100%-'Установка скидки'!$F$11)</f>
        <v>364</v>
      </c>
      <c r="H49" s="604">
        <f>367*(100%-'Установка скидки'!$F$11)</f>
        <v>367</v>
      </c>
      <c r="I49" s="604">
        <f>378*(100%-'Установка скидки'!$F$11)</f>
        <v>378</v>
      </c>
      <c r="J49" s="604">
        <f>392*(100%-'Установка скидки'!$F$11)</f>
        <v>392</v>
      </c>
      <c r="K49" s="604">
        <f>417*(100%-'Установка скидки'!$F$11)</f>
        <v>417</v>
      </c>
      <c r="L49" s="604">
        <f>459*(100%-'Установка скидки'!$F$11)</f>
        <v>459</v>
      </c>
      <c r="M49" s="604">
        <f>493*(100%-'Установка скидки'!$F$11)</f>
        <v>493</v>
      </c>
      <c r="N49" s="604">
        <f>540*(100%-'Установка скидки'!$F$11)</f>
        <v>540</v>
      </c>
      <c r="O49" s="605" t="s">
        <v>0</v>
      </c>
      <c r="P49" s="248"/>
      <c r="Q49" s="249"/>
    </row>
    <row r="50" spans="1:25" s="7" customFormat="1" x14ac:dyDescent="0.2">
      <c r="A50" s="505" t="s">
        <v>132</v>
      </c>
      <c r="B50" s="606" t="s">
        <v>0</v>
      </c>
      <c r="C50" s="606" t="s">
        <v>0</v>
      </c>
      <c r="D50" s="606" t="s">
        <v>0</v>
      </c>
      <c r="E50" s="604">
        <f>580*(100%-'Установка скидки'!$F$11)</f>
        <v>580</v>
      </c>
      <c r="F50" s="604">
        <f>580*(100%-'Установка скидки'!$F$11)</f>
        <v>580</v>
      </c>
      <c r="G50" s="607" t="s">
        <v>0</v>
      </c>
      <c r="H50" s="604">
        <f>635*(100%-'Установка скидки'!$F$11)</f>
        <v>635</v>
      </c>
      <c r="I50" s="607" t="s">
        <v>0</v>
      </c>
      <c r="J50" s="607" t="s">
        <v>0</v>
      </c>
      <c r="K50" s="604">
        <f>728*(100%-'Установка скидки'!$F$11)</f>
        <v>728</v>
      </c>
      <c r="L50" s="607" t="s">
        <v>0</v>
      </c>
      <c r="M50" s="604">
        <f>863*(100%-'Установка скидки'!$F$11)</f>
        <v>863</v>
      </c>
      <c r="N50" s="604">
        <f>954*(100%-'Установка скидки'!$F$11)</f>
        <v>954</v>
      </c>
      <c r="O50" s="604">
        <f>1186*(100%-'Установка скидки'!$F$11)</f>
        <v>1186</v>
      </c>
      <c r="P50" s="247"/>
      <c r="Q50" s="237"/>
    </row>
    <row r="51" spans="1:25" s="7" customFormat="1" x14ac:dyDescent="0.25">
      <c r="A51" s="501" t="s">
        <v>75</v>
      </c>
      <c r="B51" s="413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0"/>
      <c r="P51" s="237"/>
      <c r="Q51" s="237"/>
    </row>
    <row r="52" spans="1:25" s="7" customFormat="1" x14ac:dyDescent="0.2">
      <c r="A52" s="505" t="s">
        <v>131</v>
      </c>
      <c r="B52" s="416">
        <f>464*(100%-'Установка скидки'!$F$11)</f>
        <v>464</v>
      </c>
      <c r="C52" s="416">
        <f>500*(100%-'Установка скидки'!$F$11)</f>
        <v>500</v>
      </c>
      <c r="D52" s="419" t="s">
        <v>0</v>
      </c>
      <c r="E52" s="419" t="s">
        <v>0</v>
      </c>
      <c r="F52" s="419" t="s">
        <v>0</v>
      </c>
      <c r="G52" s="604">
        <f>588*(100%-'Установка скидки'!$F$11)</f>
        <v>588</v>
      </c>
      <c r="H52" s="605" t="s">
        <v>0</v>
      </c>
      <c r="I52" s="604">
        <f>622*(100%-'Установка скидки'!$F$11)</f>
        <v>622</v>
      </c>
      <c r="J52" s="604">
        <f>628*(100%-'Установка скидки'!$F$11)</f>
        <v>628</v>
      </c>
      <c r="K52" s="605" t="s">
        <v>0</v>
      </c>
      <c r="L52" s="604">
        <f>685*(100%-'Установка скидки'!$F$11)</f>
        <v>685</v>
      </c>
      <c r="M52" s="605" t="s">
        <v>0</v>
      </c>
      <c r="N52" s="547">
        <f>672*(100%-'Установка скидки'!$F$11)</f>
        <v>672</v>
      </c>
      <c r="O52" s="419" t="s">
        <v>0</v>
      </c>
      <c r="P52" s="237"/>
      <c r="Q52" s="237"/>
    </row>
    <row r="53" spans="1:25" s="7" customFormat="1" x14ac:dyDescent="0.2">
      <c r="A53" s="505" t="s">
        <v>132</v>
      </c>
      <c r="B53" s="417" t="s">
        <v>0</v>
      </c>
      <c r="C53" s="418" t="s">
        <v>0</v>
      </c>
      <c r="D53" s="418">
        <f>660*(100%-'Установка скидки'!$F$11)</f>
        <v>660</v>
      </c>
      <c r="E53" s="418">
        <f>684*(100%-'Установка скидки'!$F$11)</f>
        <v>684</v>
      </c>
      <c r="F53" s="417">
        <f>684*(100%-'Установка скидки'!$F$11)</f>
        <v>684</v>
      </c>
      <c r="G53" s="418" t="s">
        <v>0</v>
      </c>
      <c r="H53" s="417">
        <f>735*(100%-'Установка скидки'!$F$11)</f>
        <v>735</v>
      </c>
      <c r="I53" s="417" t="s">
        <v>0</v>
      </c>
      <c r="J53" s="418" t="s">
        <v>0</v>
      </c>
      <c r="K53" s="417">
        <f>817*(100%-'Установка скидки'!$F$11)</f>
        <v>817</v>
      </c>
      <c r="L53" s="418" t="s">
        <v>0</v>
      </c>
      <c r="M53" s="418">
        <f>944*(100%-'Установка скидки'!$F$11)</f>
        <v>944</v>
      </c>
      <c r="N53" s="480">
        <f>1135*(100%-'Установка скидки'!$F$11)</f>
        <v>1135</v>
      </c>
      <c r="O53" s="480">
        <f>1468*(100%-'Установка скидки'!$F$11)</f>
        <v>1468</v>
      </c>
      <c r="P53" s="237"/>
      <c r="Q53" s="237"/>
    </row>
    <row r="54" spans="1:25" s="7" customFormat="1" x14ac:dyDescent="0.25">
      <c r="A54" s="682" t="s">
        <v>38</v>
      </c>
      <c r="B54" s="421"/>
      <c r="C54" s="422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0"/>
      <c r="P54" s="237"/>
      <c r="Q54" s="237"/>
    </row>
    <row r="55" spans="1:25" s="7" customFormat="1" x14ac:dyDescent="0.2">
      <c r="A55" s="505" t="s">
        <v>131</v>
      </c>
      <c r="B55" s="407">
        <f>184*(100%-'Установка скидки'!$F$11)</f>
        <v>184</v>
      </c>
      <c r="C55" s="407">
        <f>184*(100%-'Установка скидки'!$F$11)</f>
        <v>184</v>
      </c>
      <c r="D55" s="479">
        <f>197*(100%-'Установка скидки'!$F$11)</f>
        <v>197</v>
      </c>
      <c r="E55" s="479">
        <f>202*(100%-'Установка скидки'!$F$11)</f>
        <v>202</v>
      </c>
      <c r="F55" s="479">
        <f>202*(100%-'Установка скидки'!$F$11)</f>
        <v>202</v>
      </c>
      <c r="G55" s="420" t="s">
        <v>0</v>
      </c>
      <c r="H55" s="479">
        <f>216*(100%-'Установка скидки'!$F$11)</f>
        <v>216</v>
      </c>
      <c r="I55" s="420" t="s">
        <v>0</v>
      </c>
      <c r="J55" s="420" t="s">
        <v>0</v>
      </c>
      <c r="K55" s="479">
        <f>235*(100%-'Установка скидки'!$F$11)</f>
        <v>235</v>
      </c>
      <c r="L55" s="420" t="s">
        <v>0</v>
      </c>
      <c r="M55" s="479">
        <f>281*(100%-'Установка скидки'!$F$11)</f>
        <v>281</v>
      </c>
      <c r="N55" s="479">
        <f>317*(100%-'Установка скидки'!$F$11)</f>
        <v>317</v>
      </c>
      <c r="O55" s="407">
        <f>397*(100%-'Установка скидки'!$F$11)</f>
        <v>397</v>
      </c>
      <c r="P55" s="237"/>
      <c r="Q55" s="237"/>
    </row>
    <row r="56" spans="1:25" s="7" customFormat="1" x14ac:dyDescent="0.25">
      <c r="A56" s="682" t="s">
        <v>161</v>
      </c>
      <c r="B56" s="421"/>
      <c r="C56" s="422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0"/>
      <c r="P56" s="237"/>
      <c r="Q56" s="237"/>
    </row>
    <row r="57" spans="1:25" s="7" customFormat="1" x14ac:dyDescent="0.2">
      <c r="A57" s="505" t="s">
        <v>131</v>
      </c>
      <c r="B57" s="407">
        <f>184*(100%-'Установка скидки'!$F$11)</f>
        <v>184</v>
      </c>
      <c r="C57" s="407">
        <f>184*(100%-'Установка скидки'!$F$11)</f>
        <v>184</v>
      </c>
      <c r="D57" s="479">
        <f>197*(100%-'Установка скидки'!$F$11)</f>
        <v>197</v>
      </c>
      <c r="E57" s="479">
        <f>202*(100%-'Установка скидки'!$F$11)</f>
        <v>202</v>
      </c>
      <c r="F57" s="479">
        <f>202*(100%-'Установка скидки'!$F$11)</f>
        <v>202</v>
      </c>
      <c r="G57" s="609">
        <f>214*(100%-'Установка скидки'!$F$11)</f>
        <v>214</v>
      </c>
      <c r="H57" s="602">
        <f>216*(100%-'Установка скидки'!$F$11)</f>
        <v>216</v>
      </c>
      <c r="I57" s="602">
        <f>224*(100%-'Установка скидки'!$F$11)</f>
        <v>224</v>
      </c>
      <c r="J57" s="602">
        <f>232*(100%-'Установка скидки'!$F$11)</f>
        <v>232</v>
      </c>
      <c r="K57" s="609">
        <f>235*(100%-'Установка скидки'!$F$11)</f>
        <v>235</v>
      </c>
      <c r="L57" s="609">
        <f>264*(100%-'Установка скидки'!$F$11)</f>
        <v>264</v>
      </c>
      <c r="M57" s="609">
        <f>281*(100%-'Установка скидки'!$F$11)</f>
        <v>281</v>
      </c>
      <c r="N57" s="602">
        <f>317*(100%-'Установка скидки'!$F$11)</f>
        <v>317</v>
      </c>
      <c r="O57" s="609" t="s">
        <v>0</v>
      </c>
      <c r="P57" s="237"/>
      <c r="Q57" s="237"/>
    </row>
    <row r="58" spans="1:25" s="7" customFormat="1" x14ac:dyDescent="0.25">
      <c r="A58" s="682" t="s">
        <v>219</v>
      </c>
      <c r="B58" s="421"/>
      <c r="C58" s="422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0"/>
      <c r="P58" s="237"/>
      <c r="Q58" s="237"/>
    </row>
    <row r="59" spans="1:25" s="7" customFormat="1" x14ac:dyDescent="0.2">
      <c r="A59" s="505" t="s">
        <v>131</v>
      </c>
      <c r="B59" s="408">
        <f>300*(100%-'Установка скидки'!$F$11)</f>
        <v>300</v>
      </c>
      <c r="C59" s="408">
        <f>300*(100%-'Установка скидки'!$F$11)</f>
        <v>300</v>
      </c>
      <c r="D59" s="416">
        <f>323*(100%-'Установка скидки'!$F$11)</f>
        <v>323</v>
      </c>
      <c r="E59" s="416">
        <f>326*(100%-'Установка скидки'!$F$11)</f>
        <v>326</v>
      </c>
      <c r="F59" s="416">
        <f>330*(100%-'Установка скидки'!$F$11)</f>
        <v>330</v>
      </c>
      <c r="G59" s="419" t="s">
        <v>0</v>
      </c>
      <c r="H59" s="416">
        <f>341*(100%-'Установка скидки'!$F$11)</f>
        <v>341</v>
      </c>
      <c r="I59" s="419" t="s">
        <v>0</v>
      </c>
      <c r="J59" s="419" t="s">
        <v>0</v>
      </c>
      <c r="K59" s="416">
        <f>359*(100%-'Установка скидки'!$F$11)</f>
        <v>359</v>
      </c>
      <c r="L59" s="419" t="s">
        <v>0</v>
      </c>
      <c r="M59" s="416">
        <f>398*(100%-'Установка скидки'!$F$11)</f>
        <v>398</v>
      </c>
      <c r="N59" s="416">
        <f>452*(100%-'Установка скидки'!$F$11)</f>
        <v>452</v>
      </c>
      <c r="O59" s="547">
        <f>515*(100%-'Установка скидки'!$F$11)</f>
        <v>515</v>
      </c>
      <c r="P59" s="237"/>
      <c r="Q59" s="237"/>
    </row>
    <row r="60" spans="1:25" s="7" customFormat="1" ht="13.5" customHeight="1" x14ac:dyDescent="0.2">
      <c r="A60" s="181"/>
      <c r="B60" s="122"/>
      <c r="C60" s="123"/>
      <c r="D60" s="123"/>
      <c r="E60" s="123"/>
      <c r="F60" s="123"/>
      <c r="G60" s="123"/>
      <c r="H60" s="123"/>
      <c r="I60" s="123"/>
    </row>
    <row r="61" spans="1:25" s="258" customFormat="1" ht="16.5" customHeight="1" x14ac:dyDescent="0.2">
      <c r="A61" s="307"/>
      <c r="B61" s="700"/>
      <c r="C61" s="701"/>
      <c r="D61" s="697" t="s">
        <v>212</v>
      </c>
      <c r="E61" s="698"/>
      <c r="F61" s="698"/>
      <c r="G61" s="698"/>
      <c r="H61" s="698"/>
      <c r="I61" s="698"/>
      <c r="J61" s="698"/>
      <c r="K61" s="698"/>
      <c r="L61" s="698"/>
      <c r="M61" s="698"/>
      <c r="N61" s="698"/>
      <c r="O61" s="698"/>
      <c r="P61" s="39"/>
      <c r="Q61" s="39"/>
      <c r="R61" s="39"/>
      <c r="S61" s="39"/>
      <c r="T61" s="39"/>
      <c r="U61" s="39"/>
      <c r="V61" s="39"/>
      <c r="W61" s="39"/>
      <c r="X61" s="16"/>
      <c r="Y61" s="16"/>
    </row>
    <row r="62" spans="1:25" s="258" customFormat="1" ht="14.25" customHeight="1" x14ac:dyDescent="0.2">
      <c r="A62" s="298"/>
      <c r="B62" s="702"/>
      <c r="C62" s="703"/>
      <c r="D62" s="699" t="s">
        <v>26</v>
      </c>
      <c r="E62" s="696"/>
      <c r="F62" s="696"/>
      <c r="G62" s="696"/>
      <c r="H62" s="696"/>
      <c r="I62" s="696"/>
      <c r="J62" s="696"/>
      <c r="K62" s="696"/>
      <c r="L62" s="696"/>
      <c r="M62" s="696"/>
      <c r="N62" s="696"/>
      <c r="O62" s="69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s="258" customFormat="1" ht="14.25" customHeight="1" x14ac:dyDescent="0.2">
      <c r="A63" s="298"/>
      <c r="B63" s="298"/>
      <c r="C63" s="298"/>
      <c r="D63" s="696"/>
      <c r="E63" s="696"/>
      <c r="F63" s="696"/>
      <c r="G63" s="696"/>
      <c r="H63" s="696"/>
      <c r="I63" s="696"/>
      <c r="J63" s="696"/>
      <c r="K63" s="696"/>
      <c r="L63" s="696"/>
      <c r="M63" s="696"/>
      <c r="N63" s="696"/>
      <c r="O63" s="69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12.75" x14ac:dyDescent="0.2">
      <c r="A64" s="707" t="s">
        <v>172</v>
      </c>
      <c r="B64" s="695"/>
      <c r="C64" s="695"/>
      <c r="D64" s="695"/>
      <c r="E64" s="695"/>
      <c r="F64" s="695"/>
      <c r="G64" s="695"/>
      <c r="H64" s="695"/>
      <c r="I64" s="695"/>
      <c r="J64" s="695"/>
      <c r="K64" s="695"/>
      <c r="L64" s="695"/>
      <c r="M64" s="695"/>
      <c r="N64" s="695"/>
      <c r="O64" s="695"/>
    </row>
    <row r="65" spans="1:21" ht="12.75" x14ac:dyDescent="0.2">
      <c r="A65" s="695"/>
      <c r="B65" s="695"/>
      <c r="C65" s="695"/>
      <c r="D65" s="695"/>
      <c r="E65" s="695"/>
      <c r="F65" s="695"/>
      <c r="G65" s="695"/>
      <c r="H65" s="695"/>
      <c r="I65" s="695"/>
      <c r="J65" s="695"/>
      <c r="K65" s="695"/>
      <c r="L65" s="695"/>
      <c r="M65" s="695"/>
      <c r="N65" s="695"/>
      <c r="O65" s="695"/>
    </row>
    <row r="66" spans="1:21" ht="4.5" customHeight="1" x14ac:dyDescent="0.2">
      <c r="A66" s="317"/>
      <c r="B66" s="318"/>
      <c r="C66" s="319"/>
      <c r="D66" s="319"/>
      <c r="E66" s="319"/>
      <c r="F66" s="319"/>
      <c r="G66" s="319"/>
      <c r="H66" s="319"/>
      <c r="I66" s="320"/>
      <c r="J66" s="306"/>
      <c r="K66" s="306"/>
      <c r="L66" s="306"/>
      <c r="M66" s="306"/>
      <c r="N66" s="306"/>
      <c r="O66" s="306"/>
    </row>
    <row r="67" spans="1:21" ht="12.75" x14ac:dyDescent="0.2">
      <c r="A67" s="707" t="s">
        <v>173</v>
      </c>
      <c r="B67" s="695"/>
      <c r="C67" s="695"/>
      <c r="D67" s="695"/>
      <c r="E67" s="695"/>
      <c r="F67" s="695"/>
      <c r="G67" s="695"/>
      <c r="H67" s="695"/>
      <c r="I67" s="695"/>
      <c r="J67" s="695"/>
      <c r="K67" s="695"/>
      <c r="L67" s="695"/>
      <c r="M67" s="695"/>
      <c r="N67" s="695"/>
      <c r="O67" s="695"/>
    </row>
    <row r="68" spans="1:21" ht="12.75" customHeight="1" x14ac:dyDescent="0.2">
      <c r="A68" s="695"/>
      <c r="B68" s="695"/>
      <c r="C68" s="695"/>
      <c r="D68" s="695"/>
      <c r="E68" s="695"/>
      <c r="F68" s="695"/>
      <c r="G68" s="695"/>
      <c r="H68" s="695"/>
      <c r="I68" s="695"/>
      <c r="J68" s="695"/>
      <c r="K68" s="695"/>
      <c r="L68" s="695"/>
      <c r="M68" s="695"/>
      <c r="N68" s="695"/>
      <c r="O68" s="695"/>
      <c r="P68" s="231"/>
      <c r="Q68" s="231"/>
      <c r="R68" s="231"/>
      <c r="S68" s="231"/>
      <c r="T68" s="231"/>
      <c r="U68" s="231"/>
    </row>
    <row r="69" spans="1:21" ht="31.5" customHeight="1" x14ac:dyDescent="0.2">
      <c r="A69" s="695"/>
      <c r="B69" s="695"/>
      <c r="C69" s="695"/>
      <c r="D69" s="695"/>
      <c r="E69" s="695"/>
      <c r="F69" s="695"/>
      <c r="G69" s="695"/>
      <c r="H69" s="695"/>
      <c r="I69" s="695"/>
      <c r="J69" s="695"/>
      <c r="K69" s="695"/>
      <c r="L69" s="695"/>
      <c r="M69" s="695"/>
      <c r="N69" s="695"/>
      <c r="O69" s="695"/>
      <c r="P69" s="231"/>
      <c r="Q69" s="231"/>
      <c r="R69" s="231"/>
      <c r="S69" s="231"/>
      <c r="T69" s="231"/>
      <c r="U69" s="231"/>
    </row>
    <row r="70" spans="1:21" ht="16.5" customHeight="1" x14ac:dyDescent="0.2">
      <c r="A70" s="695" t="s">
        <v>174</v>
      </c>
      <c r="B70" s="696"/>
      <c r="C70" s="696"/>
      <c r="D70" s="696"/>
      <c r="E70" s="696"/>
      <c r="F70" s="696"/>
      <c r="G70" s="696"/>
      <c r="H70" s="696"/>
      <c r="I70" s="696"/>
      <c r="J70" s="696"/>
      <c r="K70" s="696"/>
      <c r="L70" s="696"/>
      <c r="M70" s="696"/>
      <c r="N70" s="696"/>
      <c r="O70" s="696"/>
      <c r="P70" s="306"/>
      <c r="Q70" s="306"/>
      <c r="R70" s="306"/>
      <c r="S70" s="306"/>
      <c r="T70" s="306"/>
      <c r="U70" s="306"/>
    </row>
  </sheetData>
  <protectedRanges>
    <protectedRange sqref="D7:D8 D1:E1 D5:E5 A21:A25 B51:C51 A9:B10 C9:I9 B45:C46 B42:C43 B25:C25 A12:B12 B48:C49 B60 B40:C40 B22:C23 A16:C18 C10:O10 B35:C35 A14:C14 A29:C29 B32:C32 A32:A60 A31:C31 D43:F43" name="Диапазон1_2_2_1"/>
    <protectedRange sqref="A11:C11" name="Диапазон1_3_2_1"/>
    <protectedRange sqref="A13:C13 A15:C15" name="Диапазон1_6_1_1"/>
    <protectedRange sqref="D27:D28 D25:K25 D45:N45 D21:F21 H21 H24 K24 D32:N32 D51:N51 D42:N42 D48:N48 N52 D40:N40 L24:N25 C12 G12 I12:J12 D22:N22 Q12 O20:P20 P24:Q24 K21:Q21 P26:Q26 D24:F24 D35:N35 D30 D46:L46 E47:F47 H47 K47 M47:O47" name="Диапазон1_2_6_1_1"/>
    <protectedRange sqref="G43:O43" name="Диапазон1_20_1_1"/>
    <protectedRange sqref="E50:F50 D49:N49 H50 K50 M50:O50" name="Диапазон1_1_4_1_1"/>
    <protectedRange sqref="K12:N12 D12:F12 H12 D11:N11" name="Диапазон1_3_6_1_1"/>
    <protectedRange sqref="D13:N18 D29:E29 G29:N29 D31:E31 G31:N31" name="Диапазон1_6_4_1_1"/>
    <protectedRange sqref="C60:I60 D58:N58 D54:N54 D56:N56 D59:F59 H59 M59:N59 H55 K55 K59 M55:N55 D55:F55 D57:F57" name="Диапазон1_2_10_4_1_1"/>
    <protectedRange sqref="A1:B8" name="Диапазон1_2_1_1_1"/>
    <protectedRange sqref="A64:I67" name="Диапазон1_18_1_1"/>
    <protectedRange sqref="D52:F52 B21:C21 G21 G24 B50:D50 I21:J21 I24:J24 C34 C39 O23 O33 O38 O49 O52 M52 O41 O57 B53 G59 G55 I55:J55 I59:J59 L59 L55 B24:C24 B44:D44 N46:O46 H52 K52 O36 B27:C28 B30:C30 E26:O26" name="Диапазон1_8"/>
    <protectedRange sqref="C6:I6 C1 D2:I3 C3" name="Диапазон1_1_2_1_1"/>
    <protectedRange sqref="A26:A28 A30" name="Диапазон1_2_2_1_2"/>
    <protectedRange sqref="C41:D41 C36:D36 B37:C37 C38:D38" name="Диапазон1_2_2_1_3"/>
    <protectedRange sqref="D37:N37 E39:F39 H39 D34:F34 H33:H34 K34 M46 N33 N41 K39 N57 H41:J41 M34:N34 H57:J57 M38:N39 N36 H36:J36 B33 D33 B36 B38 E38 B41" name="Диапазон1_2_6_1_1_2"/>
    <protectedRange sqref="B39 B34 D39 L34 E33:G33 E41:G41 K41:M41 G57 K57:M57 G34 C33 G39 I39:J39 F38:L38 L39 I33:I34 J33:M33 J34 E36:G36 K36:M36" name="Диапазон1_8_2"/>
    <protectedRange sqref="E44:N44" name="Диапазон1_2_6_1_1_3"/>
    <protectedRange sqref="G50 I50:J50 L50" name="Диапазон1_2_6_1_1_5"/>
    <protectedRange sqref="B47:D47" name="Диапазон1_8_3"/>
    <protectedRange sqref="G47 I47:J47 L47" name="Диапазон1_2_6_1_1_4_2"/>
    <protectedRange sqref="K53 H53:I53 F53" name="Диапазон1_8_4"/>
    <protectedRange sqref="C53:E53 J53 L53:M53 G52:G53 I52:J52 L52 B52:C52" name="Диапазон1_2_10_4_1_1_1_1"/>
    <protectedRange sqref="A62:C63 A61:D61 D62:F62" name="Диапазон1_2_2_1_1"/>
    <protectedRange sqref="E61:J61 M61:O61 E63:J63 M63:O63 H62:M62" name="Диапазон1_2_6_1_1_1"/>
  </protectedRanges>
  <mergeCells count="15">
    <mergeCell ref="P37:S37"/>
    <mergeCell ref="P46:S47"/>
    <mergeCell ref="A64:O65"/>
    <mergeCell ref="A67:O69"/>
    <mergeCell ref="C1:G5"/>
    <mergeCell ref="M3:O4"/>
    <mergeCell ref="M5:O6"/>
    <mergeCell ref="C6:G6"/>
    <mergeCell ref="A9:A10"/>
    <mergeCell ref="B9:O9"/>
    <mergeCell ref="A70:O70"/>
    <mergeCell ref="D61:O61"/>
    <mergeCell ref="D62:O63"/>
    <mergeCell ref="B61:C61"/>
    <mergeCell ref="B62:C62"/>
  </mergeCells>
  <pageMargins left="0.51181102362204722" right="0.51181102362204722" top="0.15748031496062992" bottom="0.15748031496062992" header="0.31496062992125984" footer="0.31496062992125984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zoomScale="85" zoomScaleNormal="85" workbookViewId="0">
      <pane xSplit="1" ySplit="12" topLeftCell="B43" activePane="bottomRight" state="frozen"/>
      <selection pane="topRight" activeCell="B1" sqref="B1"/>
      <selection pane="bottomLeft" activeCell="A13" sqref="A13"/>
      <selection pane="bottomRight" activeCell="B61" sqref="B61"/>
    </sheetView>
  </sheetViews>
  <sheetFormatPr defaultRowHeight="15" x14ac:dyDescent="0.2"/>
  <cols>
    <col min="1" max="1" width="42.85546875" style="183" customWidth="1"/>
    <col min="2" max="2" width="8" style="124" customWidth="1"/>
    <col min="3" max="3" width="8.28515625" style="595" customWidth="1"/>
    <col min="4" max="4" width="9.140625" style="236" customWidth="1"/>
    <col min="5" max="5" width="9.28515625" style="236" customWidth="1"/>
    <col min="6" max="6" width="9" style="236" customWidth="1"/>
    <col min="7" max="7" width="9.140625" style="236" customWidth="1"/>
    <col min="8" max="8" width="9" style="236" customWidth="1"/>
    <col min="9" max="9" width="9.140625" style="236" customWidth="1"/>
    <col min="10" max="10" width="10.140625" style="236" customWidth="1"/>
    <col min="11" max="11" width="11.28515625" customWidth="1"/>
    <col min="12" max="12" width="8.42578125" customWidth="1"/>
    <col min="13" max="14" width="8.42578125" bestFit="1" customWidth="1"/>
    <col min="15" max="15" width="9" customWidth="1"/>
    <col min="16" max="16" width="8.42578125" bestFit="1" customWidth="1"/>
  </cols>
  <sheetData>
    <row r="1" spans="1:27" x14ac:dyDescent="0.2">
      <c r="A1" s="179"/>
      <c r="B1" s="119"/>
      <c r="C1" s="119"/>
      <c r="D1" s="708"/>
      <c r="E1" s="709"/>
      <c r="F1" s="709"/>
      <c r="G1" s="709"/>
      <c r="H1" s="709"/>
    </row>
    <row r="2" spans="1:27" ht="26.25" x14ac:dyDescent="0.2">
      <c r="A2" s="179"/>
      <c r="B2" s="119"/>
      <c r="C2" s="119"/>
      <c r="D2" s="709"/>
      <c r="E2" s="709"/>
      <c r="F2" s="709"/>
      <c r="G2" s="709"/>
      <c r="H2" s="709"/>
      <c r="I2" s="120"/>
      <c r="J2" s="120"/>
    </row>
    <row r="3" spans="1:27" ht="41.25" customHeight="1" x14ac:dyDescent="0.2">
      <c r="A3" s="179"/>
      <c r="B3" s="119"/>
      <c r="C3" s="119"/>
      <c r="D3" s="709"/>
      <c r="E3" s="709"/>
      <c r="F3" s="709"/>
      <c r="G3" s="709"/>
      <c r="H3" s="709"/>
      <c r="I3" s="120"/>
      <c r="J3" s="120"/>
      <c r="O3" s="710"/>
      <c r="P3" s="710"/>
    </row>
    <row r="4" spans="1:27" x14ac:dyDescent="0.2">
      <c r="A4" s="180"/>
      <c r="B4" s="121"/>
      <c r="C4" s="121"/>
      <c r="D4" s="709"/>
      <c r="E4" s="709"/>
      <c r="F4" s="709"/>
      <c r="G4" s="709"/>
      <c r="H4" s="709"/>
      <c r="O4" s="710"/>
      <c r="P4" s="710"/>
    </row>
    <row r="5" spans="1:27" ht="20.25" x14ac:dyDescent="0.2">
      <c r="A5" s="179"/>
      <c r="B5" s="119"/>
      <c r="C5" s="119"/>
      <c r="D5" s="709"/>
      <c r="E5" s="709"/>
      <c r="F5" s="709"/>
      <c r="G5" s="709"/>
      <c r="H5" s="709"/>
      <c r="I5" s="118"/>
      <c r="J5" s="118"/>
      <c r="O5" s="711"/>
      <c r="P5" s="711"/>
    </row>
    <row r="6" spans="1:27" ht="18" x14ac:dyDescent="0.2">
      <c r="A6" s="179"/>
      <c r="B6" s="119"/>
      <c r="C6" s="119"/>
      <c r="D6" s="712"/>
      <c r="E6" s="713"/>
      <c r="F6" s="713"/>
      <c r="G6" s="713"/>
      <c r="H6" s="713"/>
      <c r="I6" s="235"/>
      <c r="J6" s="235"/>
      <c r="O6" s="711"/>
      <c r="P6" s="711"/>
    </row>
    <row r="7" spans="1:27" ht="20.25" x14ac:dyDescent="0.2">
      <c r="A7" s="179"/>
      <c r="B7" s="119"/>
      <c r="C7" s="119"/>
      <c r="D7" s="118"/>
      <c r="E7" s="118"/>
    </row>
    <row r="8" spans="1:27" s="7" customFormat="1" x14ac:dyDescent="0.2">
      <c r="A8" s="181"/>
      <c r="B8" s="122"/>
      <c r="C8" s="122"/>
      <c r="D8" s="123"/>
      <c r="E8" s="123"/>
      <c r="F8" s="123"/>
      <c r="G8" s="123"/>
      <c r="H8" s="123"/>
      <c r="I8" s="123"/>
      <c r="J8" s="123"/>
    </row>
    <row r="9" spans="1:27" s="7" customFormat="1" x14ac:dyDescent="0.2">
      <c r="A9" s="181"/>
      <c r="B9" s="122"/>
      <c r="C9" s="122"/>
      <c r="D9" s="123"/>
      <c r="E9" s="123"/>
      <c r="F9" s="123"/>
      <c r="G9" s="123"/>
      <c r="H9" s="123"/>
      <c r="I9" s="123"/>
      <c r="J9" s="123"/>
    </row>
    <row r="10" spans="1:27" s="7" customFormat="1" x14ac:dyDescent="0.2">
      <c r="A10" s="181"/>
      <c r="B10" s="122"/>
      <c r="C10" s="122"/>
      <c r="D10" s="123"/>
      <c r="E10" s="123"/>
      <c r="F10" s="123"/>
      <c r="G10" s="123"/>
      <c r="H10" s="123"/>
      <c r="I10" s="123"/>
      <c r="J10" s="123"/>
    </row>
    <row r="11" spans="1:27" s="7" customFormat="1" x14ac:dyDescent="0.2">
      <c r="A11" s="714" t="s">
        <v>138</v>
      </c>
      <c r="B11" s="722" t="s">
        <v>133</v>
      </c>
      <c r="C11" s="722"/>
      <c r="D11" s="723"/>
      <c r="E11" s="723"/>
      <c r="F11" s="723"/>
      <c r="G11" s="723"/>
      <c r="H11" s="723"/>
      <c r="I11" s="723"/>
      <c r="J11" s="723"/>
      <c r="K11" s="723"/>
      <c r="L11" s="723"/>
      <c r="M11" s="723"/>
      <c r="N11" s="723"/>
      <c r="O11" s="723"/>
      <c r="P11" s="723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</row>
    <row r="12" spans="1:27" ht="30" x14ac:dyDescent="0.2">
      <c r="A12" s="715"/>
      <c r="B12" s="287" t="s">
        <v>1</v>
      </c>
      <c r="C12" s="288" t="s">
        <v>222</v>
      </c>
      <c r="D12" s="288" t="s">
        <v>2</v>
      </c>
      <c r="E12" s="288" t="s">
        <v>3</v>
      </c>
      <c r="F12" s="287" t="s">
        <v>166</v>
      </c>
      <c r="G12" s="288" t="s">
        <v>4</v>
      </c>
      <c r="H12" s="287" t="s">
        <v>165</v>
      </c>
      <c r="I12" s="288" t="s">
        <v>5</v>
      </c>
      <c r="J12" s="287" t="s">
        <v>164</v>
      </c>
      <c r="K12" s="287" t="s">
        <v>167</v>
      </c>
      <c r="L12" s="288" t="s">
        <v>6</v>
      </c>
      <c r="M12" s="288" t="s">
        <v>7</v>
      </c>
      <c r="N12" s="288" t="s">
        <v>8</v>
      </c>
      <c r="O12" s="287" t="s">
        <v>168</v>
      </c>
      <c r="P12" s="288" t="s">
        <v>13</v>
      </c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</row>
    <row r="13" spans="1:27" x14ac:dyDescent="0.2">
      <c r="A13" s="507" t="s">
        <v>193</v>
      </c>
      <c r="B13" s="725"/>
      <c r="C13" s="725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</row>
    <row r="14" spans="1:27" x14ac:dyDescent="0.2">
      <c r="A14" s="508" t="s">
        <v>198</v>
      </c>
      <c r="B14" s="610"/>
      <c r="C14" s="610"/>
      <c r="D14" s="610"/>
      <c r="E14" s="610">
        <f>813*(100%-'Установка скидки'!$F$11)</f>
        <v>813</v>
      </c>
      <c r="F14" s="610">
        <f>813*(100%-'Установка скидки'!$F$11)</f>
        <v>813</v>
      </c>
      <c r="G14" s="610">
        <f>813*(100%-'Установка скидки'!$F$11)</f>
        <v>813</v>
      </c>
      <c r="H14" s="610">
        <f>813*(100%-'Установка скидки'!$F$11)</f>
        <v>813</v>
      </c>
      <c r="I14" s="610"/>
      <c r="J14" s="610"/>
      <c r="K14" s="610"/>
      <c r="L14" s="610">
        <f>850*(100%-'Установка скидки'!$F$11)</f>
        <v>850</v>
      </c>
      <c r="M14" s="610"/>
      <c r="N14" s="610"/>
      <c r="O14" s="610"/>
      <c r="P14" s="611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</row>
    <row r="15" spans="1:27" s="7" customFormat="1" x14ac:dyDescent="0.25">
      <c r="A15" s="507" t="s">
        <v>76</v>
      </c>
      <c r="B15" s="289"/>
      <c r="C15" s="597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</row>
    <row r="16" spans="1:27" x14ac:dyDescent="0.2">
      <c r="A16" s="508" t="s">
        <v>198</v>
      </c>
      <c r="B16" s="483">
        <f>737*(100%-'Установка скидки'!$F$11)</f>
        <v>737</v>
      </c>
      <c r="C16" s="483">
        <f>737*(100%-'Установка скидки'!$F$11)</f>
        <v>737</v>
      </c>
      <c r="D16" s="483">
        <f>737*(100%-'Установка скидки'!$F$11)</f>
        <v>737</v>
      </c>
      <c r="E16" s="483">
        <f>758*(100%-'Установка скидки'!$F$11)</f>
        <v>758</v>
      </c>
      <c r="F16" s="483">
        <f>758*(100%-'Установка скидки'!$F$11)</f>
        <v>758</v>
      </c>
      <c r="G16" s="483">
        <f>758*(100%-'Установка скидки'!$F$11)</f>
        <v>758</v>
      </c>
      <c r="H16" s="483">
        <f>758*(100%-'Установка скидки'!$F$11)</f>
        <v>758</v>
      </c>
      <c r="I16" s="483">
        <f>767*(100%-'Установка скидки'!$F$11)</f>
        <v>767</v>
      </c>
      <c r="J16" s="612">
        <f>767*(100%-'Установка скидки'!$F$11)</f>
        <v>767</v>
      </c>
      <c r="K16" s="550">
        <f>852*(100%-'Установка скидки'!$F$11)</f>
        <v>852</v>
      </c>
      <c r="L16" s="483">
        <f>852*(100%-'Установка скидки'!$F$11)</f>
        <v>852</v>
      </c>
      <c r="M16" s="483">
        <f>1075*(100%-'Установка скидки'!$F$11)</f>
        <v>1075</v>
      </c>
      <c r="N16" s="483">
        <f>1110*(100%-'Установка скидки'!$F$11)</f>
        <v>1110</v>
      </c>
      <c r="O16" s="483">
        <f>1110*(100%-'Установка скидки'!$F$11)</f>
        <v>1110</v>
      </c>
      <c r="P16" s="412">
        <f>1520*(100%-'Установка скидки'!$F$11)</f>
        <v>1520</v>
      </c>
      <c r="Q16" s="32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</row>
    <row r="17" spans="1:27" s="7" customFormat="1" x14ac:dyDescent="0.25">
      <c r="A17" s="507" t="s">
        <v>77</v>
      </c>
      <c r="B17" s="423"/>
      <c r="C17" s="424"/>
      <c r="D17" s="424"/>
      <c r="E17" s="424"/>
      <c r="F17" s="424"/>
      <c r="G17" s="424"/>
      <c r="H17" s="424"/>
      <c r="I17" s="424"/>
      <c r="J17" s="424"/>
      <c r="K17" s="535"/>
      <c r="L17" s="424"/>
      <c r="M17" s="424"/>
      <c r="N17" s="424"/>
      <c r="O17" s="424"/>
      <c r="P17" s="410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</row>
    <row r="18" spans="1:27" x14ac:dyDescent="0.2">
      <c r="A18" s="508" t="s">
        <v>199</v>
      </c>
      <c r="B18" s="613" t="s">
        <v>0</v>
      </c>
      <c r="C18" s="614">
        <f>1170*(100%-'Установка скидки'!$F$11)</f>
        <v>1170</v>
      </c>
      <c r="D18" s="614">
        <f>1220*(100%-'Установка скидки'!$F$11)</f>
        <v>1220</v>
      </c>
      <c r="E18" s="614">
        <f>1220*(100%-'Установка скидки'!$F$11)</f>
        <v>1220</v>
      </c>
      <c r="F18" s="614">
        <f>1220*(100%-'Установка скидки'!$F$11)</f>
        <v>1220</v>
      </c>
      <c r="G18" s="614">
        <f>1220*(100%-'Установка скидки'!$F$11)</f>
        <v>1220</v>
      </c>
      <c r="H18" s="614">
        <f>1220*(100%-'Установка скидки'!$F$11)</f>
        <v>1220</v>
      </c>
      <c r="I18" s="614">
        <f>1311*(100%-'Установка скидки'!$F$11)</f>
        <v>1311</v>
      </c>
      <c r="J18" s="614">
        <f>1311*(100%-'Установка скидки'!$F$11)</f>
        <v>1311</v>
      </c>
      <c r="K18" s="551">
        <f>1371*(100%-'Установка скидки'!$F$11)</f>
        <v>1371</v>
      </c>
      <c r="L18" s="334">
        <f>1371*(100%-'Установка скидки'!$F$11)</f>
        <v>1371</v>
      </c>
      <c r="M18" s="334">
        <f>2053*(100%-'Установка скидки'!$F$11)</f>
        <v>2053</v>
      </c>
      <c r="N18" s="334">
        <f>2229*(100%-'Установка скидки'!$F$11)</f>
        <v>2229</v>
      </c>
      <c r="O18" s="614">
        <f>2229*(100%-'Установка скидки'!$F$11)</f>
        <v>2229</v>
      </c>
      <c r="P18" s="613" t="s">
        <v>0</v>
      </c>
      <c r="Q18" s="32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</row>
    <row r="19" spans="1:27" s="7" customFormat="1" x14ac:dyDescent="0.2">
      <c r="A19" s="508" t="s">
        <v>198</v>
      </c>
      <c r="B19" s="610">
        <f>1178*(100%-'Установка скидки'!$F$11)</f>
        <v>1178</v>
      </c>
      <c r="C19" s="683">
        <f>1294*(100%-'Установка скидки'!$F$11)</f>
        <v>1294</v>
      </c>
      <c r="D19" s="683">
        <f>1411*(100%-'Установка скидки'!$F$11)</f>
        <v>1411</v>
      </c>
      <c r="E19" s="683">
        <f>1416*(100%-'Установка скидки'!$F$11)</f>
        <v>1416</v>
      </c>
      <c r="F19" s="683">
        <f>1416*(100%-'Установка скидки'!$F$11)</f>
        <v>1416</v>
      </c>
      <c r="G19" s="610">
        <f>1416*(100%-'Установка скидки'!$F$11)</f>
        <v>1416</v>
      </c>
      <c r="H19" s="610">
        <f>1416*(100%-'Установка скидки'!$F$11)</f>
        <v>1416</v>
      </c>
      <c r="I19" s="683">
        <f>1511*(100%-'Установка скидки'!$F$11)</f>
        <v>1511</v>
      </c>
      <c r="J19" s="683">
        <f>1511*(100%-'Установка скидки'!$F$11)</f>
        <v>1511</v>
      </c>
      <c r="K19" s="627"/>
      <c r="L19" s="546">
        <f>1585*(100%-'Установка скидки'!$F$11)</f>
        <v>1585</v>
      </c>
      <c r="M19" s="596">
        <f>2460*(100%-'Установка скидки'!$F$11)</f>
        <v>2460</v>
      </c>
      <c r="N19" s="546">
        <f>2647*(100%-'Установка скидки'!$F$11)</f>
        <v>2647</v>
      </c>
      <c r="O19" s="596">
        <f>2647*(100%-'Установка скидки'!$F$11)</f>
        <v>2647</v>
      </c>
      <c r="P19" s="683" t="s">
        <v>0</v>
      </c>
      <c r="Q19" s="32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</row>
    <row r="20" spans="1:27" x14ac:dyDescent="0.2">
      <c r="A20" s="508" t="s">
        <v>200</v>
      </c>
      <c r="B20" s="615" t="s">
        <v>0</v>
      </c>
      <c r="C20" s="615" t="s">
        <v>0</v>
      </c>
      <c r="D20" s="615" t="s">
        <v>0</v>
      </c>
      <c r="E20" s="615">
        <f>1490*(100%-'Установка скидки'!$F$11)</f>
        <v>1490</v>
      </c>
      <c r="F20" s="615">
        <f>1490*(100%-'Установка скидки'!$F$11)</f>
        <v>1490</v>
      </c>
      <c r="G20" s="615">
        <f>1490*(100%-'Установка скидки'!$F$11)</f>
        <v>1490</v>
      </c>
      <c r="H20" s="615">
        <f>1490*(100%-'Установка скидки'!$F$11)</f>
        <v>1490</v>
      </c>
      <c r="I20" s="615">
        <f>1573*(100%-'Установка скидки'!$F$11)</f>
        <v>1573</v>
      </c>
      <c r="J20" s="615">
        <f>1573*(100%-'Установка скидки'!$F$11)</f>
        <v>1573</v>
      </c>
      <c r="K20" s="553">
        <f>1761*(100%-'Установка скидки'!$F$11)</f>
        <v>1761</v>
      </c>
      <c r="L20" s="425">
        <f>1761*(100%-'Установка скидки'!$F$11)</f>
        <v>1761</v>
      </c>
      <c r="M20" s="615">
        <f>2545*(100%-'Установка скидки'!$F$11)</f>
        <v>2545</v>
      </c>
      <c r="N20" s="425">
        <f>2747*(100%-'Установка скидки'!$F$11)</f>
        <v>2747</v>
      </c>
      <c r="O20" s="425">
        <f>2747*(100%-'Установка скидки'!$F$11)</f>
        <v>2747</v>
      </c>
      <c r="P20" s="425">
        <f>3769*(100%-'Установка скидки'!$F$11)</f>
        <v>3769</v>
      </c>
      <c r="Q20" s="32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</row>
    <row r="21" spans="1:27" s="7" customFormat="1" x14ac:dyDescent="0.25">
      <c r="A21" s="507" t="s">
        <v>78</v>
      </c>
      <c r="B21" s="423"/>
      <c r="C21" s="684"/>
      <c r="D21" s="684"/>
      <c r="E21" s="684"/>
      <c r="F21" s="684"/>
      <c r="G21" s="424"/>
      <c r="H21" s="424"/>
      <c r="I21" s="684"/>
      <c r="J21" s="684"/>
      <c r="K21" s="535"/>
      <c r="L21" s="424"/>
      <c r="M21" s="424"/>
      <c r="N21" s="424"/>
      <c r="O21" s="684"/>
      <c r="P21" s="687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</row>
    <row r="22" spans="1:27" x14ac:dyDescent="0.2">
      <c r="A22" s="508" t="s">
        <v>199</v>
      </c>
      <c r="B22" s="613" t="s">
        <v>0</v>
      </c>
      <c r="C22" s="614">
        <f>1418*(100%-'Установка скидки'!$F$11)</f>
        <v>1418</v>
      </c>
      <c r="D22" s="614">
        <f>1481*(100%-'Установка скидки'!$F$11)</f>
        <v>1481</v>
      </c>
      <c r="E22" s="614">
        <f>1503*(100%-'Установка скидки'!$F$11)</f>
        <v>1503</v>
      </c>
      <c r="F22" s="614">
        <f>1503*(100%-'Установка скидки'!$F$11)</f>
        <v>1503</v>
      </c>
      <c r="G22" s="614">
        <f>1503*(100%-'Установка скидки'!$F$11)</f>
        <v>1503</v>
      </c>
      <c r="H22" s="614">
        <f>1503*(100%-'Установка скидки'!$F$11)</f>
        <v>1503</v>
      </c>
      <c r="I22" s="614">
        <f>1575*(100%-'Установка скидки'!$F$11)</f>
        <v>1575</v>
      </c>
      <c r="J22" s="614">
        <f>1575*(100%-'Установка скидки'!$F$11)</f>
        <v>1575</v>
      </c>
      <c r="K22" s="551">
        <f>1716*(100%-'Установка скидки'!$F$11)</f>
        <v>1716</v>
      </c>
      <c r="L22" s="614">
        <f>1716*(100%-'Установка скидки'!$F$11)</f>
        <v>1716</v>
      </c>
      <c r="M22" s="614">
        <f>2117*(100%-'Установка скидки'!$F$11)</f>
        <v>2117</v>
      </c>
      <c r="N22" s="614">
        <f>2298*(100%-'Установка скидки'!$F$11)</f>
        <v>2298</v>
      </c>
      <c r="O22" s="614">
        <f>2298*(100%-'Установка скидки'!$F$11)</f>
        <v>2298</v>
      </c>
      <c r="P22" s="613" t="s">
        <v>0</v>
      </c>
      <c r="Q22" s="32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</row>
    <row r="23" spans="1:27" s="7" customFormat="1" x14ac:dyDescent="0.2">
      <c r="A23" s="508" t="s">
        <v>198</v>
      </c>
      <c r="B23" s="610">
        <f>1459*(100%-'Установка скидки'!$F$11)</f>
        <v>1459</v>
      </c>
      <c r="C23" s="683">
        <f>1621*(100%-'Установка скидки'!$F$11)</f>
        <v>1621</v>
      </c>
      <c r="D23" s="683">
        <f>1779*(100%-'Установка скидки'!$F$11)</f>
        <v>1779</v>
      </c>
      <c r="E23" s="683">
        <f>1795*(100%-'Установка скидки'!$F$11)</f>
        <v>1795</v>
      </c>
      <c r="F23" s="683">
        <f>1795*(100%-'Установка скидки'!$F$11)</f>
        <v>1795</v>
      </c>
      <c r="G23" s="610">
        <f>1795*(100%-'Установка скидки'!$F$11)</f>
        <v>1795</v>
      </c>
      <c r="H23" s="610">
        <f>1795*(100%-'Установка скидки'!$F$11)</f>
        <v>1795</v>
      </c>
      <c r="I23" s="683">
        <f>1873*(100%-'Установка скидки'!$F$11)</f>
        <v>1873</v>
      </c>
      <c r="J23" s="683">
        <f>1873*(100%-'Установка скидки'!$F$11)</f>
        <v>1873</v>
      </c>
      <c r="K23" s="627"/>
      <c r="L23" s="610">
        <f>2036*(100%-'Установка скидки'!$F$11)</f>
        <v>2036</v>
      </c>
      <c r="M23" s="690">
        <f>3088*(100%-'Установка скидки'!$F$11)</f>
        <v>3088</v>
      </c>
      <c r="N23" s="690">
        <f>3125*(100%-'Установка скидки'!$F$11)</f>
        <v>3125</v>
      </c>
      <c r="O23" s="690">
        <f>3125*(100%-'Установка скидки'!$F$11)</f>
        <v>3125</v>
      </c>
      <c r="P23" s="683" t="s">
        <v>0</v>
      </c>
      <c r="Q23" s="321"/>
      <c r="R23" s="251"/>
      <c r="S23" s="240"/>
      <c r="T23" s="251"/>
      <c r="U23" s="251"/>
      <c r="V23" s="251"/>
      <c r="W23" s="251"/>
      <c r="X23" s="251"/>
      <c r="Y23" s="251"/>
      <c r="Z23" s="251"/>
      <c r="AA23" s="251"/>
    </row>
    <row r="24" spans="1:27" x14ac:dyDescent="0.2">
      <c r="A24" s="508" t="s">
        <v>200</v>
      </c>
      <c r="B24" s="615" t="s">
        <v>0</v>
      </c>
      <c r="C24" s="615" t="s">
        <v>0</v>
      </c>
      <c r="D24" s="615" t="s">
        <v>0</v>
      </c>
      <c r="E24" s="615">
        <f>1845*(100%-'Установка скидки'!$F$11)</f>
        <v>1845</v>
      </c>
      <c r="F24" s="615">
        <f>1845*(100%-'Установка скидки'!$F$11)</f>
        <v>1845</v>
      </c>
      <c r="G24" s="615">
        <f>1845*(100%-'Установка скидки'!$F$11)</f>
        <v>1845</v>
      </c>
      <c r="H24" s="615">
        <f>1845*(100%-'Установка скидки'!$F$11)</f>
        <v>1845</v>
      </c>
      <c r="I24" s="615">
        <f>1912*(100%-'Установка скидки'!$F$11)</f>
        <v>1912</v>
      </c>
      <c r="J24" s="615">
        <f>1912*(100%-'Установка скидки'!$F$11)</f>
        <v>1912</v>
      </c>
      <c r="K24" s="553">
        <f>2248*(100%-'Установка скидки'!$F$11)</f>
        <v>2248</v>
      </c>
      <c r="L24" s="615">
        <f>2248*(100%-'Установка скидки'!$F$11)</f>
        <v>2248</v>
      </c>
      <c r="M24" s="615">
        <f>3202*(100%-'Установка скидки'!$F$11)</f>
        <v>3202</v>
      </c>
      <c r="N24" s="615">
        <f>3245*(100%-'Установка скидки'!$F$11)</f>
        <v>3245</v>
      </c>
      <c r="O24" s="615">
        <f>3245*(100%-'Установка скидки'!$F$11)</f>
        <v>3245</v>
      </c>
      <c r="P24" s="616">
        <f>4784*(100%-'Установка скидки'!$F$11)</f>
        <v>4784</v>
      </c>
      <c r="Q24" s="32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</row>
    <row r="25" spans="1:27" s="7" customFormat="1" x14ac:dyDescent="0.25">
      <c r="A25" s="507" t="s">
        <v>79</v>
      </c>
      <c r="B25" s="423"/>
      <c r="C25" s="684"/>
      <c r="D25" s="684"/>
      <c r="E25" s="684"/>
      <c r="F25" s="684"/>
      <c r="G25" s="424"/>
      <c r="H25" s="424"/>
      <c r="I25" s="684"/>
      <c r="J25" s="684"/>
      <c r="K25" s="535"/>
      <c r="L25" s="424"/>
      <c r="M25" s="424"/>
      <c r="N25" s="424"/>
      <c r="O25" s="424"/>
      <c r="P25" s="410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</row>
    <row r="26" spans="1:27" s="7" customFormat="1" x14ac:dyDescent="0.2">
      <c r="A26" s="508" t="s">
        <v>198</v>
      </c>
      <c r="B26" s="411">
        <f>684*(100%-'Установка скидки'!$F$11)</f>
        <v>684</v>
      </c>
      <c r="C26" s="613">
        <f>691*(100%-'Установка скидки'!$F$11)</f>
        <v>691</v>
      </c>
      <c r="D26" s="685" t="s">
        <v>0</v>
      </c>
      <c r="E26" s="685" t="s">
        <v>0</v>
      </c>
      <c r="F26" s="685" t="s">
        <v>0</v>
      </c>
      <c r="G26" s="426" t="s">
        <v>0</v>
      </c>
      <c r="H26" s="426" t="s">
        <v>0</v>
      </c>
      <c r="I26" s="426" t="s">
        <v>0</v>
      </c>
      <c r="J26" s="426" t="s">
        <v>0</v>
      </c>
      <c r="K26" s="536" t="s">
        <v>0</v>
      </c>
      <c r="L26" s="426" t="s">
        <v>0</v>
      </c>
      <c r="M26" s="426" t="s">
        <v>0</v>
      </c>
      <c r="N26" s="426" t="s">
        <v>0</v>
      </c>
      <c r="O26" s="426" t="s">
        <v>0</v>
      </c>
      <c r="P26" s="426" t="s">
        <v>0</v>
      </c>
      <c r="Q26" s="323"/>
      <c r="R26" s="255"/>
      <c r="S26" s="256"/>
      <c r="T26" s="256"/>
      <c r="U26" s="251"/>
      <c r="V26" s="251"/>
      <c r="W26" s="251"/>
      <c r="X26" s="251"/>
      <c r="Y26" s="251"/>
      <c r="Z26" s="251"/>
      <c r="AA26" s="251"/>
    </row>
    <row r="27" spans="1:27" s="9" customFormat="1" x14ac:dyDescent="0.2">
      <c r="A27" s="508" t="s">
        <v>200</v>
      </c>
      <c r="B27" s="425" t="s">
        <v>0</v>
      </c>
      <c r="C27" s="615" t="s">
        <v>0</v>
      </c>
      <c r="D27" s="615">
        <f>715*(100%-'Установка скидки'!$F$11)</f>
        <v>715</v>
      </c>
      <c r="E27" s="615">
        <f>720*(100%-'Установка скидки'!$F$11)</f>
        <v>720</v>
      </c>
      <c r="F27" s="615">
        <f>720*(100%-'Установка скидки'!$F$11)</f>
        <v>720</v>
      </c>
      <c r="G27" s="425">
        <f>720*(100%-'Установка скидки'!$F$11)</f>
        <v>720</v>
      </c>
      <c r="H27" s="425">
        <f>720*(100%-'Установка скидки'!$F$11)</f>
        <v>720</v>
      </c>
      <c r="I27" s="425">
        <f>814*(100%-'Установка скидки'!$F$11)</f>
        <v>814</v>
      </c>
      <c r="J27" s="615">
        <f>814*(100%-'Установка скидки'!$F$11)</f>
        <v>814</v>
      </c>
      <c r="K27" s="553">
        <f>871*(100%-'Установка скидки'!$F$11)</f>
        <v>871</v>
      </c>
      <c r="L27" s="425">
        <f>871*(100%-'Установка скидки'!$F$11)</f>
        <v>871</v>
      </c>
      <c r="M27" s="425">
        <f>1088*(100%-'Установка скидки'!$F$11)</f>
        <v>1088</v>
      </c>
      <c r="N27" s="425">
        <f>1133*(100%-'Установка скидки'!$F$11)</f>
        <v>1133</v>
      </c>
      <c r="O27" s="406">
        <f>1133*(100%-'Установка скидки'!$F$11)</f>
        <v>1133</v>
      </c>
      <c r="P27" s="406">
        <f>1486*(100%-'Установка скидки'!$F$11)</f>
        <v>1486</v>
      </c>
      <c r="Q27" s="322"/>
      <c r="R27" s="255"/>
      <c r="S27" s="252"/>
      <c r="T27" s="252"/>
      <c r="U27" s="253"/>
      <c r="V27" s="253"/>
      <c r="W27" s="253"/>
      <c r="X27" s="253"/>
      <c r="Y27" s="253"/>
      <c r="Z27" s="253"/>
      <c r="AA27" s="253"/>
    </row>
    <row r="28" spans="1:27" s="7" customFormat="1" x14ac:dyDescent="0.25">
      <c r="A28" s="507" t="s">
        <v>169</v>
      </c>
      <c r="B28" s="427"/>
      <c r="C28" s="686"/>
      <c r="D28" s="686"/>
      <c r="E28" s="686"/>
      <c r="F28" s="686"/>
      <c r="G28" s="428"/>
      <c r="H28" s="428"/>
      <c r="I28" s="428"/>
      <c r="J28" s="428"/>
      <c r="K28" s="537"/>
      <c r="L28" s="428"/>
      <c r="M28" s="428"/>
      <c r="N28" s="428"/>
      <c r="O28" s="428"/>
      <c r="P28" s="429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</row>
    <row r="29" spans="1:27" s="7" customFormat="1" x14ac:dyDescent="0.25">
      <c r="A29" s="508" t="s">
        <v>200</v>
      </c>
      <c r="B29" s="412" t="s">
        <v>0</v>
      </c>
      <c r="C29" s="617" t="s">
        <v>0</v>
      </c>
      <c r="D29" s="617" t="s">
        <v>0</v>
      </c>
      <c r="E29" s="617" t="s">
        <v>0</v>
      </c>
      <c r="F29" s="617">
        <f>720*(100%-'Установка скидки'!$F$11)</f>
        <v>720</v>
      </c>
      <c r="G29" s="617" t="s">
        <v>0</v>
      </c>
      <c r="H29" s="617">
        <f>720*(100%-'Установка скидки'!$F$11)</f>
        <v>720</v>
      </c>
      <c r="I29" s="617" t="s">
        <v>0</v>
      </c>
      <c r="J29" s="617">
        <f>814*(100%-'Установка скидки'!$F$11)</f>
        <v>814</v>
      </c>
      <c r="K29" s="553">
        <f>871*(100%-'Установка скидки'!$F$11)</f>
        <v>871</v>
      </c>
      <c r="L29" s="425">
        <f>871*(100%-'Установка скидки'!$F$11)</f>
        <v>871</v>
      </c>
      <c r="M29" s="430" t="s">
        <v>0</v>
      </c>
      <c r="N29" s="430" t="s">
        <v>0</v>
      </c>
      <c r="O29" s="617">
        <f>1133*(100%-'Установка скидки'!$F$11)</f>
        <v>1133</v>
      </c>
      <c r="P29" s="430" t="s">
        <v>0</v>
      </c>
      <c r="Q29" s="32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</row>
    <row r="30" spans="1:27" s="7" customFormat="1" x14ac:dyDescent="0.25">
      <c r="A30" s="507" t="s">
        <v>80</v>
      </c>
      <c r="B30" s="423"/>
      <c r="C30" s="684"/>
      <c r="D30" s="684"/>
      <c r="E30" s="684"/>
      <c r="F30" s="684"/>
      <c r="G30" s="424"/>
      <c r="H30" s="424"/>
      <c r="I30" s="424"/>
      <c r="J30" s="424"/>
      <c r="K30" s="535"/>
      <c r="L30" s="424"/>
      <c r="M30" s="424"/>
      <c r="N30" s="424"/>
      <c r="O30" s="424"/>
      <c r="P30" s="410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</row>
    <row r="31" spans="1:27" s="7" customFormat="1" x14ac:dyDescent="0.2">
      <c r="A31" s="508" t="s">
        <v>198</v>
      </c>
      <c r="B31" s="411">
        <f>1043*(100%-'Установка скидки'!$F$11)</f>
        <v>1043</v>
      </c>
      <c r="C31" s="613">
        <f>1174*(100%-'Установка скидки'!$F$11)</f>
        <v>1174</v>
      </c>
      <c r="D31" s="613" t="s">
        <v>0</v>
      </c>
      <c r="E31" s="613" t="s">
        <v>0</v>
      </c>
      <c r="F31" s="613" t="s">
        <v>0</v>
      </c>
      <c r="G31" s="411" t="s">
        <v>0</v>
      </c>
      <c r="H31" s="411" t="s">
        <v>0</v>
      </c>
      <c r="I31" s="411" t="s">
        <v>0</v>
      </c>
      <c r="J31" s="411" t="s">
        <v>0</v>
      </c>
      <c r="K31" s="538" t="s">
        <v>0</v>
      </c>
      <c r="L31" s="411" t="s">
        <v>0</v>
      </c>
      <c r="M31" s="411" t="s">
        <v>0</v>
      </c>
      <c r="N31" s="411" t="s">
        <v>0</v>
      </c>
      <c r="O31" s="411" t="s">
        <v>0</v>
      </c>
      <c r="P31" s="411" t="s">
        <v>0</v>
      </c>
      <c r="Q31" s="32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</row>
    <row r="32" spans="1:27" s="7" customFormat="1" x14ac:dyDescent="0.2">
      <c r="A32" s="508" t="s">
        <v>200</v>
      </c>
      <c r="B32" s="425" t="s">
        <v>0</v>
      </c>
      <c r="C32" s="615" t="s">
        <v>0</v>
      </c>
      <c r="D32" s="615">
        <f>1255*(100%-'Установка скидки'!$F$11)</f>
        <v>1255</v>
      </c>
      <c r="E32" s="615">
        <f>1269*(100%-'Установка скидки'!$F$11)</f>
        <v>1269</v>
      </c>
      <c r="F32" s="615">
        <f>1269*(100%-'Установка скидки'!$F$11)</f>
        <v>1269</v>
      </c>
      <c r="G32" s="425">
        <f>1269*(100%-'Установка скидки'!$F$11)</f>
        <v>1269</v>
      </c>
      <c r="H32" s="425">
        <f>1269*(100%-'Установка скидки'!$F$11)</f>
        <v>1269</v>
      </c>
      <c r="I32" s="425">
        <f>1300*(100%-'Установка скидки'!$F$11)</f>
        <v>1300</v>
      </c>
      <c r="J32" s="615">
        <f>1300*(100%-'Установка скидки'!$F$11)</f>
        <v>1300</v>
      </c>
      <c r="K32" s="553">
        <f>1466*(100%-'Установка скидки'!$F$11)</f>
        <v>1466</v>
      </c>
      <c r="L32" s="425">
        <f>1466*(100%-'Установка скидки'!$F$11)</f>
        <v>1466</v>
      </c>
      <c r="M32" s="425">
        <f>2223*(100%-'Установка скидки'!$F$11)</f>
        <v>2223</v>
      </c>
      <c r="N32" s="425">
        <f>2293*(100%-'Установка скидки'!$F$11)</f>
        <v>2293</v>
      </c>
      <c r="O32" s="425">
        <f>2293*(100%-'Установка скидки'!$F$11)</f>
        <v>2293</v>
      </c>
      <c r="P32" s="406">
        <f>3243*(100%-'Установка скидки'!$F$11)</f>
        <v>3243</v>
      </c>
      <c r="Q32" s="32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</row>
    <row r="33" spans="1:27" s="7" customFormat="1" x14ac:dyDescent="0.25">
      <c r="A33" s="507" t="s">
        <v>81</v>
      </c>
      <c r="B33" s="423"/>
      <c r="C33" s="684"/>
      <c r="D33" s="684"/>
      <c r="E33" s="684"/>
      <c r="F33" s="684"/>
      <c r="G33" s="424"/>
      <c r="H33" s="424"/>
      <c r="I33" s="424"/>
      <c r="J33" s="424"/>
      <c r="K33" s="535"/>
      <c r="L33" s="424"/>
      <c r="M33" s="424"/>
      <c r="N33" s="424"/>
      <c r="O33" s="424"/>
      <c r="P33" s="410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</row>
    <row r="34" spans="1:27" s="7" customFormat="1" x14ac:dyDescent="0.2">
      <c r="A34" s="508" t="s">
        <v>199</v>
      </c>
      <c r="B34" s="411" t="s">
        <v>0</v>
      </c>
      <c r="C34" s="613">
        <f>1745*(100%-'Установка скидки'!$F$11)</f>
        <v>1745</v>
      </c>
      <c r="D34" s="613">
        <f>1999*(100%-'Установка скидки'!$F$11)</f>
        <v>1999</v>
      </c>
      <c r="E34" s="613">
        <f>2007*(100%-'Установка скидки'!$F$11)</f>
        <v>2007</v>
      </c>
      <c r="F34" s="613" t="s">
        <v>0</v>
      </c>
      <c r="G34" s="411">
        <f>2007*(100%-'Установка скидки'!$F$11)</f>
        <v>2007</v>
      </c>
      <c r="H34" s="411" t="s">
        <v>0</v>
      </c>
      <c r="I34" s="411">
        <f>2303*(100%-'Установка скидки'!$F$11)</f>
        <v>2303</v>
      </c>
      <c r="J34" s="411" t="s">
        <v>0</v>
      </c>
      <c r="K34" s="538" t="s">
        <v>0</v>
      </c>
      <c r="L34" s="411">
        <f>2673*(100%-'Установка скидки'!$F$11)</f>
        <v>2673</v>
      </c>
      <c r="M34" s="411">
        <f>3448*(100%-'Установка скидки'!$F$11)</f>
        <v>3448</v>
      </c>
      <c r="N34" s="411">
        <f>4018*(100%-'Установка скидки'!$F$11)</f>
        <v>4018</v>
      </c>
      <c r="O34" s="411" t="s">
        <v>0</v>
      </c>
      <c r="P34" s="411" t="s">
        <v>0</v>
      </c>
      <c r="Q34" s="32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</row>
    <row r="35" spans="1:27" s="7" customFormat="1" x14ac:dyDescent="0.2">
      <c r="A35" s="508" t="s">
        <v>198</v>
      </c>
      <c r="B35" s="546">
        <f>2385*(100%-'Установка скидки'!$F$11)</f>
        <v>2385</v>
      </c>
      <c r="C35" s="683">
        <f>2392*(100%-'Установка скидки'!$F$11)</f>
        <v>2392</v>
      </c>
      <c r="D35" s="683">
        <f>2677*(100%-'Установка скидки'!$F$11)</f>
        <v>2677</v>
      </c>
      <c r="E35" s="683" t="s">
        <v>0</v>
      </c>
      <c r="F35" s="683" t="s">
        <v>0</v>
      </c>
      <c r="G35" s="546" t="s">
        <v>0</v>
      </c>
      <c r="H35" s="546" t="s">
        <v>0</v>
      </c>
      <c r="I35" s="553">
        <f>3009*(100%-'Установка скидки'!$F$11)</f>
        <v>3009</v>
      </c>
      <c r="J35" s="546" t="s">
        <v>0</v>
      </c>
      <c r="K35" s="539" t="s">
        <v>0</v>
      </c>
      <c r="L35" s="546" t="s">
        <v>0</v>
      </c>
      <c r="M35" s="553">
        <f>4732*(100%-'Установка скидки'!$F$11)</f>
        <v>4732</v>
      </c>
      <c r="N35" s="546" t="s">
        <v>0</v>
      </c>
      <c r="O35" s="546" t="s">
        <v>0</v>
      </c>
      <c r="P35" s="546" t="s">
        <v>0</v>
      </c>
      <c r="Q35" s="32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</row>
    <row r="36" spans="1:27" s="7" customFormat="1" x14ac:dyDescent="0.2">
      <c r="A36" s="508" t="s">
        <v>200</v>
      </c>
      <c r="B36" s="425" t="s">
        <v>0</v>
      </c>
      <c r="C36" s="615" t="s">
        <v>0</v>
      </c>
      <c r="D36" s="615" t="s">
        <v>0</v>
      </c>
      <c r="E36" s="615">
        <f>3020*(100%-'Установка скидки'!$F$11)</f>
        <v>3020</v>
      </c>
      <c r="F36" s="615">
        <f>3020*(100%-'Установка скидки'!$F$11)</f>
        <v>3020</v>
      </c>
      <c r="G36" s="615">
        <f>3020*(100%-'Установка скидки'!$F$11)</f>
        <v>3020</v>
      </c>
      <c r="H36" s="615">
        <f>3020*(100%-'Установка скидки'!$F$11)</f>
        <v>3020</v>
      </c>
      <c r="I36" s="615">
        <f>4066*(100%-'Установка скидки'!$F$11)</f>
        <v>4066</v>
      </c>
      <c r="J36" s="615">
        <f>4066*(100%-'Установка скидки'!$F$11)</f>
        <v>4066</v>
      </c>
      <c r="K36" s="539" t="s">
        <v>0</v>
      </c>
      <c r="L36" s="615">
        <f>4715*(100%-'Установка скидки'!$F$11)</f>
        <v>4715</v>
      </c>
      <c r="M36" s="615">
        <f>6448*(100%-'Установка скидки'!$F$11)</f>
        <v>6448</v>
      </c>
      <c r="N36" s="615">
        <f>7149*(100%-'Установка скидки'!$F$11)</f>
        <v>7149</v>
      </c>
      <c r="O36" s="615">
        <f>7149*(100%-'Установка скидки'!$F$11)</f>
        <v>7149</v>
      </c>
      <c r="P36" s="616">
        <f>12082*(100%-'Установка скидки'!$F$11)</f>
        <v>12082</v>
      </c>
      <c r="Q36" s="32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</row>
    <row r="37" spans="1:27" s="7" customFormat="1" x14ac:dyDescent="0.25">
      <c r="A37" s="507" t="s">
        <v>82</v>
      </c>
      <c r="B37" s="423"/>
      <c r="C37" s="684"/>
      <c r="D37" s="684"/>
      <c r="E37" s="684"/>
      <c r="F37" s="684"/>
      <c r="G37" s="424"/>
      <c r="H37" s="424"/>
      <c r="I37" s="424"/>
      <c r="J37" s="424"/>
      <c r="K37" s="535"/>
      <c r="L37" s="424"/>
      <c r="M37" s="424"/>
      <c r="N37" s="424"/>
      <c r="O37" s="424"/>
      <c r="P37" s="410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</row>
    <row r="38" spans="1:27" x14ac:dyDescent="0.2">
      <c r="A38" s="508" t="s">
        <v>199</v>
      </c>
      <c r="B38" s="613" t="s">
        <v>0</v>
      </c>
      <c r="C38" s="613">
        <f>1435*(100%-'Установка скидки'!$F$11)</f>
        <v>1435</v>
      </c>
      <c r="D38" s="613">
        <f>1532*(100%-'Установка скидки'!$F$11)</f>
        <v>1532</v>
      </c>
      <c r="E38" s="613">
        <f>1564*(100%-'Установка скидки'!$F$11)</f>
        <v>1564</v>
      </c>
      <c r="F38" s="613">
        <f>1564*(100%-'Установка скидки'!$F$11)</f>
        <v>1564</v>
      </c>
      <c r="G38" s="613">
        <f>1564*(100%-'Установка скидки'!$F$11)</f>
        <v>1564</v>
      </c>
      <c r="H38" s="613">
        <f>1564*(100%-'Установка скидки'!$F$11)</f>
        <v>1564</v>
      </c>
      <c r="I38" s="613">
        <f>1614*(100%-'Установка скидки'!$F$11)</f>
        <v>1614</v>
      </c>
      <c r="J38" s="613">
        <f>1614*(100%-'Установка скидки'!$F$11)</f>
        <v>1614</v>
      </c>
      <c r="K38" s="539" t="s">
        <v>0</v>
      </c>
      <c r="L38" s="411">
        <f>1826*(100%-'Установка скидки'!$F$11)</f>
        <v>1826</v>
      </c>
      <c r="M38" s="411">
        <f>2194*(100%-'Установка скидки'!$F$11)</f>
        <v>2194</v>
      </c>
      <c r="N38" s="411">
        <f>2374*(100%-'Установка скидки'!$F$11)</f>
        <v>2374</v>
      </c>
      <c r="O38" s="613">
        <f>2374*(100%-'Установка скидки'!$F$11)</f>
        <v>2374</v>
      </c>
      <c r="P38" s="411" t="s">
        <v>0</v>
      </c>
      <c r="Q38" s="32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</row>
    <row r="39" spans="1:27" s="7" customFormat="1" x14ac:dyDescent="0.2">
      <c r="A39" s="508" t="s">
        <v>198</v>
      </c>
      <c r="B39" s="610">
        <f>1473*(100%-'Установка скидки'!$F$11)</f>
        <v>1473</v>
      </c>
      <c r="C39" s="610">
        <f>1824*(100%-'Установка скидки'!$F$11)</f>
        <v>1824</v>
      </c>
      <c r="D39" s="610">
        <f>1950*(100%-'Установка скидки'!$F$11)</f>
        <v>1950</v>
      </c>
      <c r="E39" s="610" t="s">
        <v>0</v>
      </c>
      <c r="F39" s="610">
        <f>1997*(100%-'Установка скидки'!$F$11)</f>
        <v>1997</v>
      </c>
      <c r="G39" s="610" t="s">
        <v>0</v>
      </c>
      <c r="H39" s="610">
        <f>1997*(100%-'Установка скидки'!$F$11)</f>
        <v>1997</v>
      </c>
      <c r="I39" s="610" t="s">
        <v>0</v>
      </c>
      <c r="J39" s="610">
        <f>2032*(100%-'Установка скидки'!$F$11)</f>
        <v>2032</v>
      </c>
      <c r="K39" s="539" t="s">
        <v>0</v>
      </c>
      <c r="L39" s="680">
        <f>2307*(100%-'Установка скидки'!$F$11)</f>
        <v>2307</v>
      </c>
      <c r="M39" s="546" t="s">
        <v>0</v>
      </c>
      <c r="N39" s="546" t="s">
        <v>0</v>
      </c>
      <c r="O39" s="690">
        <f>2499*(100%-'Установка скидки'!$F$11)</f>
        <v>2499</v>
      </c>
      <c r="P39" s="546" t="s">
        <v>0</v>
      </c>
      <c r="Q39" s="32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</row>
    <row r="40" spans="1:27" s="9" customFormat="1" x14ac:dyDescent="0.2">
      <c r="A40" s="508" t="s">
        <v>200</v>
      </c>
      <c r="B40" s="615" t="s">
        <v>0</v>
      </c>
      <c r="C40" s="615" t="s">
        <v>0</v>
      </c>
      <c r="D40" s="615" t="s">
        <v>0</v>
      </c>
      <c r="E40" s="615">
        <f>2304*(100%-'Установка скидки'!$F$11)</f>
        <v>2304</v>
      </c>
      <c r="F40" s="615">
        <f>2304*(100%-'Установка скидки'!$F$11)</f>
        <v>2304</v>
      </c>
      <c r="G40" s="615">
        <f>2304*(100%-'Установка скидки'!$F$11)</f>
        <v>2304</v>
      </c>
      <c r="H40" s="615">
        <f>2304*(100%-'Установка скидки'!$F$11)</f>
        <v>2304</v>
      </c>
      <c r="I40" s="615">
        <f>2455*(100%-'Установка скидки'!$F$11)</f>
        <v>2455</v>
      </c>
      <c r="J40" s="615">
        <f>2455*(100%-'Установка скидки'!$F$11)</f>
        <v>2455</v>
      </c>
      <c r="K40" s="539" t="s">
        <v>0</v>
      </c>
      <c r="L40" s="425">
        <f>2791*(100%-'Установка скидки'!$F$11)</f>
        <v>2791</v>
      </c>
      <c r="M40" s="425">
        <f>3534*(100%-'Установка скидки'!$F$11)</f>
        <v>3534</v>
      </c>
      <c r="N40" s="425">
        <f>3629*(100%-'Установка скидки'!$F$11)</f>
        <v>3629</v>
      </c>
      <c r="O40" s="425">
        <f>3629*(100%-'Установка скидки'!$F$11)</f>
        <v>3629</v>
      </c>
      <c r="P40" s="406">
        <f>6133*(100%-'Установка скидки'!$F$11)</f>
        <v>6133</v>
      </c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</row>
    <row r="41" spans="1:27" s="9" customFormat="1" x14ac:dyDescent="0.2">
      <c r="A41" s="507" t="s">
        <v>195</v>
      </c>
      <c r="B41" s="476"/>
      <c r="C41" s="477"/>
      <c r="D41" s="477"/>
      <c r="E41" s="477"/>
      <c r="F41" s="477"/>
      <c r="G41" s="477"/>
      <c r="H41" s="477"/>
      <c r="I41" s="477"/>
      <c r="J41" s="477"/>
      <c r="K41" s="540"/>
      <c r="L41" s="477"/>
      <c r="M41" s="477"/>
      <c r="N41" s="477"/>
      <c r="O41" s="477"/>
      <c r="P41" s="478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</row>
    <row r="42" spans="1:27" s="9" customFormat="1" x14ac:dyDescent="0.2">
      <c r="A42" s="508" t="s">
        <v>200</v>
      </c>
      <c r="B42" s="546" t="s">
        <v>0</v>
      </c>
      <c r="C42" s="594" t="s">
        <v>0</v>
      </c>
      <c r="D42" s="546" t="s">
        <v>0</v>
      </c>
      <c r="E42" s="596">
        <f>4090*(100%-'Установка скидки'!$F$11)</f>
        <v>4090</v>
      </c>
      <c r="F42" s="546" t="s">
        <v>0</v>
      </c>
      <c r="G42" s="570">
        <f>4090*(100%-'Установка скидки'!$F$11)</f>
        <v>4090</v>
      </c>
      <c r="H42" s="596">
        <f>4090*(100%-'Установка скидки'!$F$11)</f>
        <v>4090</v>
      </c>
      <c r="I42" s="546" t="s">
        <v>0</v>
      </c>
      <c r="J42" s="546" t="s">
        <v>0</v>
      </c>
      <c r="K42" s="539" t="s">
        <v>0</v>
      </c>
      <c r="L42" s="570">
        <f>4590*(100%-'Установка скидки'!$F$11)</f>
        <v>4590</v>
      </c>
      <c r="M42" s="553">
        <v>4850</v>
      </c>
      <c r="N42" s="596">
        <f>5300*(100%-'Установка скидки'!$F$11)</f>
        <v>5300</v>
      </c>
      <c r="O42" s="546" t="s">
        <v>0</v>
      </c>
      <c r="P42" s="409" t="s">
        <v>0</v>
      </c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</row>
    <row r="43" spans="1:27" s="7" customFormat="1" x14ac:dyDescent="0.25">
      <c r="A43" s="507" t="s">
        <v>83</v>
      </c>
      <c r="B43" s="423"/>
      <c r="C43" s="424"/>
      <c r="D43" s="424"/>
      <c r="E43" s="424"/>
      <c r="F43" s="424"/>
      <c r="G43" s="424"/>
      <c r="H43" s="424"/>
      <c r="I43" s="424"/>
      <c r="J43" s="424"/>
      <c r="K43" s="535"/>
      <c r="L43" s="424"/>
      <c r="M43" s="424"/>
      <c r="N43" s="424"/>
      <c r="O43" s="424"/>
      <c r="P43" s="410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</row>
    <row r="44" spans="1:27" s="4" customFormat="1" x14ac:dyDescent="0.2">
      <c r="A44" s="508" t="s">
        <v>199</v>
      </c>
      <c r="B44" s="411" t="s">
        <v>0</v>
      </c>
      <c r="C44" s="334">
        <f>1287*(100%-'Установка скидки'!$F$11)</f>
        <v>1287</v>
      </c>
      <c r="D44" s="334">
        <f>1329*(100%-'Установка скидки'!$F$11)</f>
        <v>1329</v>
      </c>
      <c r="E44" s="334">
        <f>1340*(100%-'Установка скидки'!$F$11)</f>
        <v>1340</v>
      </c>
      <c r="F44" s="334">
        <f>1340*(100%-'Установка скидки'!$F$11)</f>
        <v>1340</v>
      </c>
      <c r="G44" s="334">
        <f>1340*(100%-'Установка скидки'!$F$11)</f>
        <v>1340</v>
      </c>
      <c r="H44" s="334">
        <f>1340*(100%-'Установка скидки'!$F$11)</f>
        <v>1340</v>
      </c>
      <c r="I44" s="334">
        <f>1384*(100%-'Установка скидки'!$F$11)</f>
        <v>1384</v>
      </c>
      <c r="J44" s="334">
        <f>1384*(100%-'Установка скидки'!$F$11)</f>
        <v>1384</v>
      </c>
      <c r="K44" s="551">
        <f>1506*(100%-'Установка скидки'!$F$11)</f>
        <v>1506</v>
      </c>
      <c r="L44" s="334">
        <f>1506*(100%-'Установка скидки'!$F$11)</f>
        <v>1506</v>
      </c>
      <c r="M44" s="334">
        <f>1946*(100%-'Установка скидки'!$F$11)</f>
        <v>1946</v>
      </c>
      <c r="N44" s="334">
        <f>2138*(100%-'Установка скидки'!$F$11)</f>
        <v>2138</v>
      </c>
      <c r="O44" s="334">
        <f>2138*(100%-'Установка скидки'!$F$11)</f>
        <v>2138</v>
      </c>
      <c r="P44" s="411" t="s">
        <v>0</v>
      </c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</row>
    <row r="45" spans="1:27" s="9" customFormat="1" x14ac:dyDescent="0.2">
      <c r="A45" s="508" t="s">
        <v>198</v>
      </c>
      <c r="B45" s="546">
        <f>1530*(100%-'Установка скидки'!$F$11)</f>
        <v>1530</v>
      </c>
      <c r="C45" s="594">
        <f>1550*(100%-'Установка скидки'!$F$11)</f>
        <v>1550</v>
      </c>
      <c r="D45" s="546">
        <f>1590*(100%-'Установка скидки'!$F$11)</f>
        <v>1590</v>
      </c>
      <c r="E45" s="546">
        <f>1600*(100%-'Установка скидки'!$F$11)</f>
        <v>1600</v>
      </c>
      <c r="F45" s="596">
        <f>1600*(100%-'Установка скидки'!$F$11)</f>
        <v>1600</v>
      </c>
      <c r="G45" s="596">
        <f>1600*(100%-'Установка скидки'!$F$11)</f>
        <v>1600</v>
      </c>
      <c r="H45" s="596">
        <f>1600*(100%-'Установка скидки'!$F$11)</f>
        <v>1600</v>
      </c>
      <c r="I45" s="681">
        <f>1770*(100%-'Установка скидки'!$F$11)</f>
        <v>1770</v>
      </c>
      <c r="J45" s="610">
        <f>1770*(100%-'Установка скидки'!$F$11)</f>
        <v>1770</v>
      </c>
      <c r="K45" s="552">
        <f>1874*(100%-'Установка скидки'!$F$11)</f>
        <v>1874</v>
      </c>
      <c r="L45" s="546">
        <f>1874*(100%-'Установка скидки'!$F$11)</f>
        <v>1874</v>
      </c>
      <c r="M45" s="546">
        <f>2550*(100%-'Установка скидки'!$F$11)</f>
        <v>2550</v>
      </c>
      <c r="N45" s="546">
        <f>2562*(100%-'Установка скидки'!$F$11)</f>
        <v>2562</v>
      </c>
      <c r="O45" s="546">
        <f>2562*(100%-'Установка скидки'!$F$11)</f>
        <v>2562</v>
      </c>
      <c r="P45" s="409">
        <f>3482*(100%-'Установка скидки'!$F$11)</f>
        <v>3482</v>
      </c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</row>
    <row r="46" spans="1:27" s="9" customFormat="1" x14ac:dyDescent="0.2">
      <c r="A46" s="508" t="s">
        <v>200</v>
      </c>
      <c r="B46" s="425" t="s">
        <v>0</v>
      </c>
      <c r="C46" s="425" t="s">
        <v>0</v>
      </c>
      <c r="D46" s="425" t="s">
        <v>0</v>
      </c>
      <c r="E46" s="425">
        <f>1870*(100%-'Установка скидки'!$F$11)</f>
        <v>1870</v>
      </c>
      <c r="F46" s="425">
        <f>1870*(100%-'Установка скидки'!$F$11)</f>
        <v>1870</v>
      </c>
      <c r="G46" s="425">
        <f>1870*(100%-'Установка скидки'!$F$11)</f>
        <v>1870</v>
      </c>
      <c r="H46" s="425">
        <f>1870*(100%-'Установка скидки'!$F$11)</f>
        <v>1870</v>
      </c>
      <c r="I46" s="425">
        <f>2120*(100%-'Установка скидки'!$F$11)</f>
        <v>2120</v>
      </c>
      <c r="J46" s="425">
        <f>2120*(100%-'Установка скидки'!$F$11)</f>
        <v>2120</v>
      </c>
      <c r="K46" s="635" t="s">
        <v>0</v>
      </c>
      <c r="L46" s="425">
        <f>2222*(100%-'Установка скидки'!$F$11)</f>
        <v>2222</v>
      </c>
      <c r="M46" s="425">
        <f>2993*(100%-'Установка скидки'!$F$11)</f>
        <v>2993</v>
      </c>
      <c r="N46" s="425">
        <f>3032*(100%-'Установка скидки'!$F$11)</f>
        <v>3032</v>
      </c>
      <c r="O46" s="425">
        <f>3032*(100%-'Установка скидки'!$F$11)</f>
        <v>3032</v>
      </c>
      <c r="P46" s="406">
        <f>4198*(100%-'Установка скидки'!$F$11)</f>
        <v>4198</v>
      </c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</row>
    <row r="47" spans="1:27" s="7" customFormat="1" x14ac:dyDescent="0.25">
      <c r="A47" s="507" t="s">
        <v>84</v>
      </c>
      <c r="B47" s="423"/>
      <c r="C47" s="424"/>
      <c r="D47" s="424"/>
      <c r="E47" s="424"/>
      <c r="F47" s="424"/>
      <c r="G47" s="424"/>
      <c r="H47" s="424"/>
      <c r="I47" s="424"/>
      <c r="J47" s="424"/>
      <c r="K47" s="535"/>
      <c r="L47" s="424"/>
      <c r="M47" s="424"/>
      <c r="N47" s="424"/>
      <c r="O47" s="424"/>
      <c r="P47" s="410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</row>
    <row r="48" spans="1:27" s="9" customFormat="1" x14ac:dyDescent="0.2">
      <c r="A48" s="508" t="s">
        <v>198</v>
      </c>
      <c r="B48" s="411">
        <f>730*(100%-'Установка скидки'!$F$11)</f>
        <v>730</v>
      </c>
      <c r="C48" s="411">
        <f>799*(100%-'Установка скидки'!$F$11)</f>
        <v>799</v>
      </c>
      <c r="D48" s="411">
        <f>843*(100%-'Установка скидки'!$F$11)</f>
        <v>843</v>
      </c>
      <c r="E48" s="411" t="s">
        <v>0</v>
      </c>
      <c r="F48" s="411">
        <f>855*(100%-'Установка скидки'!$F$11)</f>
        <v>855</v>
      </c>
      <c r="G48" s="411" t="s">
        <v>0</v>
      </c>
      <c r="H48" s="411">
        <f>855*(100%-'Установка скидки'!$F$11)</f>
        <v>855</v>
      </c>
      <c r="I48" s="411" t="s">
        <v>0</v>
      </c>
      <c r="J48" s="411">
        <f>861*(100%-'Установка скидки'!$F$11)</f>
        <v>861</v>
      </c>
      <c r="K48" s="538" t="s">
        <v>0</v>
      </c>
      <c r="L48" s="411">
        <f>935*(100%-'Установка скидки'!$F$11)</f>
        <v>935</v>
      </c>
      <c r="M48" s="636" t="s">
        <v>0</v>
      </c>
      <c r="N48" s="411" t="s">
        <v>0</v>
      </c>
      <c r="O48" s="411">
        <f>1368*(100%-'Установка скидки'!$F$11)</f>
        <v>1368</v>
      </c>
      <c r="P48" s="411"/>
      <c r="Q48" s="252"/>
      <c r="R48" s="253"/>
      <c r="S48" s="253"/>
      <c r="T48" s="253"/>
      <c r="U48" s="253"/>
      <c r="V48" s="253"/>
      <c r="W48" s="253"/>
      <c r="X48" s="253"/>
      <c r="Y48" s="253"/>
      <c r="Z48" s="253"/>
      <c r="AA48" s="253"/>
    </row>
    <row r="49" spans="1:27" s="9" customFormat="1" x14ac:dyDescent="0.2">
      <c r="A49" s="508" t="s">
        <v>200</v>
      </c>
      <c r="B49" s="546" t="s">
        <v>0</v>
      </c>
      <c r="C49" s="594" t="s">
        <v>0</v>
      </c>
      <c r="D49" s="546" t="s">
        <v>0</v>
      </c>
      <c r="E49" s="546">
        <f>954*(100%-'Установка скидки'!$F$11)</f>
        <v>954</v>
      </c>
      <c r="F49" s="596">
        <f>954*(100%-'Установка скидки'!$F$11)</f>
        <v>954</v>
      </c>
      <c r="G49" s="596">
        <f>954*(100%-'Установка скидки'!$F$11)</f>
        <v>954</v>
      </c>
      <c r="H49" s="596">
        <f>954*(100%-'Установка скидки'!$F$11)</f>
        <v>954</v>
      </c>
      <c r="I49" s="610">
        <f>966*(100%-'Установка скидки'!$F$11)</f>
        <v>966</v>
      </c>
      <c r="J49" s="681">
        <f>966*(100%-'Установка скидки'!$F$11)</f>
        <v>966</v>
      </c>
      <c r="K49" s="538" t="s">
        <v>0</v>
      </c>
      <c r="L49" s="546">
        <f>1057*(100%-'Установка скидки'!$F$11)</f>
        <v>1057</v>
      </c>
      <c r="M49" s="546">
        <f>1447*(100%-'Установка скидки'!$F$11)</f>
        <v>1447</v>
      </c>
      <c r="N49" s="546">
        <f>1525*(100%-'Установка скидки'!$F$11)</f>
        <v>1525</v>
      </c>
      <c r="O49" s="596">
        <f>1525*(100%-'Установка скидки'!$F$11)</f>
        <v>1525</v>
      </c>
      <c r="P49" s="546" t="s">
        <v>0</v>
      </c>
      <c r="Q49" s="252"/>
      <c r="R49" s="253"/>
      <c r="S49" s="253"/>
      <c r="T49" s="253"/>
      <c r="U49" s="253"/>
      <c r="V49" s="253"/>
      <c r="W49" s="253"/>
      <c r="X49" s="253"/>
      <c r="Y49" s="253"/>
      <c r="Z49" s="253"/>
      <c r="AA49" s="253"/>
    </row>
    <row r="50" spans="1:27" s="9" customFormat="1" x14ac:dyDescent="0.2">
      <c r="A50" s="509" t="s">
        <v>199</v>
      </c>
      <c r="B50" s="546" t="s">
        <v>0</v>
      </c>
      <c r="C50" s="594" t="s">
        <v>0</v>
      </c>
      <c r="D50" s="552">
        <f>569*(100%-'Установка скидки'!$F$11)</f>
        <v>569</v>
      </c>
      <c r="E50" s="552">
        <f>575*(100%-'Установка скидки'!$F$11)</f>
        <v>575</v>
      </c>
      <c r="F50" s="546" t="s">
        <v>0</v>
      </c>
      <c r="G50" s="552">
        <f>581*(100%-'Установка скидки'!$F$11)</f>
        <v>581</v>
      </c>
      <c r="H50" s="546" t="s">
        <v>0</v>
      </c>
      <c r="I50" s="552">
        <f>612*(100%-'Установка скидки'!$F$11)</f>
        <v>612</v>
      </c>
      <c r="J50" s="546" t="s">
        <v>0</v>
      </c>
      <c r="K50" s="539" t="s">
        <v>0</v>
      </c>
      <c r="L50" s="596">
        <f>776*(100%-'Установка скидки'!$F$11)</f>
        <v>776</v>
      </c>
      <c r="M50" s="546" t="s">
        <v>0</v>
      </c>
      <c r="N50" s="552">
        <f>803*(100%-'Установка скидки'!$F$11)</f>
        <v>803</v>
      </c>
      <c r="O50" s="546" t="s">
        <v>0</v>
      </c>
      <c r="P50" s="546" t="s">
        <v>0</v>
      </c>
      <c r="Q50" s="252"/>
      <c r="R50" s="253"/>
      <c r="S50" s="253"/>
      <c r="T50" s="253"/>
      <c r="U50" s="253"/>
      <c r="V50" s="253"/>
      <c r="W50" s="253"/>
      <c r="X50" s="253"/>
      <c r="Y50" s="253"/>
      <c r="Z50" s="253"/>
      <c r="AA50" s="253"/>
    </row>
    <row r="51" spans="1:27" s="9" customFormat="1" x14ac:dyDescent="0.2">
      <c r="A51" s="509" t="s">
        <v>201</v>
      </c>
      <c r="B51" s="546" t="s">
        <v>0</v>
      </c>
      <c r="C51" s="594" t="s">
        <v>0</v>
      </c>
      <c r="D51" s="546" t="s">
        <v>0</v>
      </c>
      <c r="E51" s="552">
        <f>575*(100%-'Установка скидки'!$F$11)</f>
        <v>575</v>
      </c>
      <c r="F51" s="546" t="s">
        <v>0</v>
      </c>
      <c r="G51" s="546" t="s">
        <v>0</v>
      </c>
      <c r="H51" s="546" t="s">
        <v>0</v>
      </c>
      <c r="I51" s="546" t="s">
        <v>0</v>
      </c>
      <c r="J51" s="546" t="s">
        <v>0</v>
      </c>
      <c r="K51" s="539" t="s">
        <v>0</v>
      </c>
      <c r="L51" s="546" t="s">
        <v>0</v>
      </c>
      <c r="M51" s="546" t="s">
        <v>0</v>
      </c>
      <c r="N51" s="546" t="s">
        <v>0</v>
      </c>
      <c r="O51" s="546" t="s">
        <v>0</v>
      </c>
      <c r="P51" s="546" t="s">
        <v>0</v>
      </c>
      <c r="Q51" s="252"/>
      <c r="R51" s="253"/>
      <c r="S51" s="253"/>
      <c r="T51" s="253"/>
      <c r="U51" s="253"/>
      <c r="V51" s="253"/>
      <c r="W51" s="253"/>
      <c r="X51" s="253"/>
      <c r="Y51" s="253"/>
      <c r="Z51" s="253"/>
      <c r="AA51" s="253"/>
    </row>
    <row r="52" spans="1:27" s="7" customFormat="1" x14ac:dyDescent="0.25">
      <c r="A52" s="510" t="s">
        <v>85</v>
      </c>
      <c r="B52" s="423"/>
      <c r="C52" s="424"/>
      <c r="D52" s="424"/>
      <c r="E52" s="424"/>
      <c r="F52" s="424"/>
      <c r="G52" s="424"/>
      <c r="H52" s="424"/>
      <c r="I52" s="424"/>
      <c r="J52" s="424"/>
      <c r="K52" s="535"/>
      <c r="L52" s="424"/>
      <c r="M52" s="424"/>
      <c r="N52" s="424"/>
      <c r="O52" s="424"/>
      <c r="P52" s="410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</row>
    <row r="53" spans="1:27" x14ac:dyDescent="0.2">
      <c r="A53" s="508" t="s">
        <v>199</v>
      </c>
      <c r="B53" s="411" t="s">
        <v>0</v>
      </c>
      <c r="C53" s="334">
        <f>915*(100%-'Установка скидки'!$F$11)</f>
        <v>915</v>
      </c>
      <c r="D53" s="334">
        <f>936*(100%-'Установка скидки'!$F$11)</f>
        <v>936</v>
      </c>
      <c r="E53" s="334">
        <f>948*(100%-'Установка скидки'!$F$11)</f>
        <v>948</v>
      </c>
      <c r="F53" s="334">
        <f>948*(100%-'Установка скидки'!$F$11)</f>
        <v>948</v>
      </c>
      <c r="G53" s="334">
        <f>948*(100%-'Установка скидки'!$F$11)</f>
        <v>948</v>
      </c>
      <c r="H53" s="334">
        <f>948*(100%-'Установка скидки'!$F$11)</f>
        <v>948</v>
      </c>
      <c r="I53" s="334">
        <f>996*(100%-'Установка скидки'!$F$11)</f>
        <v>996</v>
      </c>
      <c r="J53" s="334">
        <f>996*(100%-'Установка скидки'!$F$11)</f>
        <v>996</v>
      </c>
      <c r="K53" s="552">
        <f>1075*(100%-'Установка скидки'!$F$11)</f>
        <v>1075</v>
      </c>
      <c r="L53" s="334">
        <f>1075*(100%-'Установка скидки'!$F$11)</f>
        <v>1075</v>
      </c>
      <c r="M53" s="334">
        <f>1404*(100%-'Установка скидки'!$F$11)</f>
        <v>1404</v>
      </c>
      <c r="N53" s="334">
        <f>1554*(100%-'Установка скидки'!$F$11)</f>
        <v>1554</v>
      </c>
      <c r="O53" s="334">
        <f>1554*(100%-'Установка скидки'!$F$11)</f>
        <v>1554</v>
      </c>
      <c r="P53" s="552">
        <f>1790*(100%-'Установка скидки'!$F$11)</f>
        <v>1790</v>
      </c>
      <c r="Q53" s="256"/>
      <c r="R53" s="251"/>
      <c r="S53" s="251"/>
      <c r="T53" s="251"/>
      <c r="U53" s="251"/>
      <c r="V53" s="251"/>
      <c r="W53" s="251"/>
      <c r="X53" s="251"/>
      <c r="Y53" s="251"/>
      <c r="Z53" s="251"/>
      <c r="AA53" s="251"/>
    </row>
    <row r="54" spans="1:27" x14ac:dyDescent="0.2">
      <c r="A54" s="508" t="s">
        <v>198</v>
      </c>
      <c r="B54" s="546">
        <f>991*(100%-'Установка скидки'!$F$11)</f>
        <v>991</v>
      </c>
      <c r="C54" s="594">
        <f>1130*(100%-'Установка скидки'!$F$11)</f>
        <v>1130</v>
      </c>
      <c r="D54" s="546">
        <f>1139*(100%-'Установка скидки'!$F$11)</f>
        <v>1139</v>
      </c>
      <c r="E54" s="546">
        <f>1157*(100%-'Установка скидки'!$F$11)</f>
        <v>1157</v>
      </c>
      <c r="F54" s="596">
        <f>1157*(100%-'Установка скидки'!$F$11)</f>
        <v>1157</v>
      </c>
      <c r="G54" s="596">
        <f>1157*(100%-'Установка скидки'!$F$11)</f>
        <v>1157</v>
      </c>
      <c r="H54" s="596">
        <f>1157*(100%-'Установка скидки'!$F$11)</f>
        <v>1157</v>
      </c>
      <c r="I54" s="546">
        <f>1247*(100%-'Установка скидки'!$F$11)</f>
        <v>1247</v>
      </c>
      <c r="J54" s="596">
        <f>1247*(100%-'Установка скидки'!$F$11)</f>
        <v>1247</v>
      </c>
      <c r="K54" s="552">
        <f>1330*(100%-'Установка скидки'!$F$11)</f>
        <v>1330</v>
      </c>
      <c r="L54" s="546">
        <f>1330*(100%-'Установка скидки'!$F$11)</f>
        <v>1330</v>
      </c>
      <c r="M54" s="546">
        <f>1821*(100%-'Установка скидки'!$F$11)</f>
        <v>1821</v>
      </c>
      <c r="N54" s="546">
        <f>1887*(100%-'Установка скидки'!$F$11)</f>
        <v>1887</v>
      </c>
      <c r="O54" s="596">
        <f>1887*(100%-'Установка скидки'!$F$11)</f>
        <v>1887</v>
      </c>
      <c r="P54" s="546" t="s">
        <v>0</v>
      </c>
      <c r="Q54" s="256"/>
      <c r="R54" s="251"/>
      <c r="S54" s="251"/>
      <c r="T54" s="251"/>
      <c r="U54" s="251"/>
      <c r="V54" s="251"/>
      <c r="W54" s="251"/>
      <c r="X54" s="251"/>
      <c r="Y54" s="251"/>
      <c r="Z54" s="251"/>
      <c r="AA54" s="251"/>
    </row>
    <row r="55" spans="1:27" s="7" customFormat="1" x14ac:dyDescent="0.2">
      <c r="A55" s="508" t="s">
        <v>200</v>
      </c>
      <c r="B55" s="425" t="s">
        <v>0</v>
      </c>
      <c r="C55" s="425" t="s">
        <v>0</v>
      </c>
      <c r="D55" s="425" t="s">
        <v>0</v>
      </c>
      <c r="E55" s="425">
        <f>1312*(100%-'Установка скидки'!$F$11)</f>
        <v>1312</v>
      </c>
      <c r="F55" s="425">
        <f>1312*(100%-'Установка скидки'!$F$11)</f>
        <v>1312</v>
      </c>
      <c r="G55" s="425">
        <f>1312*(100%-'Установка скидки'!$F$11)</f>
        <v>1312</v>
      </c>
      <c r="H55" s="425">
        <f>1312*(100%-'Установка скидки'!$F$11)</f>
        <v>1312</v>
      </c>
      <c r="I55" s="425">
        <f>1424*(100%-'Установка скидки'!$F$11)</f>
        <v>1424</v>
      </c>
      <c r="J55" s="425">
        <f>1424*(100%-'Установка скидки'!$F$11)</f>
        <v>1424</v>
      </c>
      <c r="K55" s="553">
        <f>1546*(100%-'Установка скидки'!$F$11)</f>
        <v>1546</v>
      </c>
      <c r="L55" s="425">
        <f>1546*(100%-'Установка скидки'!$F$11)</f>
        <v>1546</v>
      </c>
      <c r="M55" s="425">
        <f>2079*(100%-'Установка скидки'!$F$11)</f>
        <v>2079</v>
      </c>
      <c r="N55" s="425">
        <f>2164*(100%-'Установка скидки'!$F$11)</f>
        <v>2164</v>
      </c>
      <c r="O55" s="425">
        <f>2164*(100%-'Установка скидки'!$F$11)</f>
        <v>2164</v>
      </c>
      <c r="P55" s="406">
        <f>2817*(100%-'Установка скидки'!$F$11)</f>
        <v>2817</v>
      </c>
      <c r="Q55" s="256"/>
      <c r="R55" s="251"/>
      <c r="S55" s="251"/>
      <c r="T55" s="251"/>
      <c r="U55" s="251"/>
      <c r="V55" s="251"/>
      <c r="W55" s="251"/>
      <c r="X55" s="251"/>
      <c r="Y55" s="251"/>
      <c r="Z55" s="251"/>
      <c r="AA55" s="251"/>
    </row>
    <row r="56" spans="1:27" s="7" customFormat="1" x14ac:dyDescent="0.2">
      <c r="A56" s="507" t="s">
        <v>194</v>
      </c>
      <c r="B56" s="727"/>
      <c r="C56" s="728"/>
      <c r="D56" s="729"/>
      <c r="E56" s="729"/>
      <c r="F56" s="729"/>
      <c r="G56" s="729"/>
      <c r="H56" s="729"/>
      <c r="I56" s="729"/>
      <c r="J56" s="729"/>
      <c r="K56" s="729"/>
      <c r="L56" s="729"/>
      <c r="M56" s="729"/>
      <c r="N56" s="729"/>
      <c r="O56" s="729"/>
      <c r="P56" s="730"/>
      <c r="Q56" s="256"/>
      <c r="R56" s="251"/>
      <c r="S56" s="251"/>
      <c r="T56" s="251"/>
      <c r="U56" s="251"/>
      <c r="V56" s="251"/>
      <c r="W56" s="251"/>
      <c r="X56" s="251"/>
      <c r="Y56" s="251"/>
      <c r="Z56" s="251"/>
      <c r="AA56" s="251"/>
    </row>
    <row r="57" spans="1:27" s="7" customFormat="1" x14ac:dyDescent="0.2">
      <c r="A57" s="508" t="s">
        <v>200</v>
      </c>
      <c r="B57" s="425" t="s">
        <v>0</v>
      </c>
      <c r="C57" s="425" t="s">
        <v>0</v>
      </c>
      <c r="D57" s="425" t="s">
        <v>0</v>
      </c>
      <c r="E57" s="409">
        <f>1232*(100%-'Установка скидки'!$F$11)</f>
        <v>1232</v>
      </c>
      <c r="F57" s="409">
        <f>1232*(100%-'Установка скидки'!$F$11)</f>
        <v>1232</v>
      </c>
      <c r="G57" s="409">
        <f>1232*(100%-'Установка скидки'!$F$11)</f>
        <v>1232</v>
      </c>
      <c r="H57" s="409">
        <f>1232*(100%-'Установка скидки'!$F$11)</f>
        <v>1232</v>
      </c>
      <c r="I57" s="425" t="s">
        <v>0</v>
      </c>
      <c r="J57" s="425" t="s">
        <v>0</v>
      </c>
      <c r="K57" s="425" t="s">
        <v>0</v>
      </c>
      <c r="L57" s="425" t="s">
        <v>0</v>
      </c>
      <c r="M57" s="425" t="s">
        <v>0</v>
      </c>
      <c r="N57" s="425" t="s">
        <v>0</v>
      </c>
      <c r="O57" s="425" t="s">
        <v>0</v>
      </c>
      <c r="P57" s="425" t="s">
        <v>0</v>
      </c>
      <c r="Q57" s="256"/>
      <c r="R57" s="251"/>
      <c r="S57" s="251"/>
      <c r="T57" s="251"/>
      <c r="U57" s="251"/>
      <c r="V57" s="251"/>
      <c r="W57" s="251"/>
      <c r="X57" s="251"/>
      <c r="Y57" s="251"/>
      <c r="Z57" s="251"/>
      <c r="AA57" s="251"/>
    </row>
    <row r="58" spans="1:27" ht="31.5" customHeight="1" x14ac:dyDescent="0.25">
      <c r="A58" s="511" t="s">
        <v>134</v>
      </c>
      <c r="B58" s="423"/>
      <c r="C58" s="424"/>
      <c r="D58" s="314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410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</row>
    <row r="59" spans="1:27" x14ac:dyDescent="0.2">
      <c r="A59" s="505" t="s">
        <v>175</v>
      </c>
      <c r="B59" s="420">
        <f>232*(100%-'Установка скидки'!$F$11)</f>
        <v>232</v>
      </c>
      <c r="C59" s="335">
        <f>250*(100%-'Установка скидки'!$F$11)</f>
        <v>250</v>
      </c>
      <c r="D59" s="335">
        <f>281*(100%-'Установка скидки'!$F$11)</f>
        <v>281</v>
      </c>
      <c r="E59" s="335">
        <f>281*(100%-'Установка скидки'!$F$11)</f>
        <v>281</v>
      </c>
      <c r="F59" s="335">
        <f>317*(100%-'Установка скидки'!$F$11)</f>
        <v>317</v>
      </c>
      <c r="G59" s="335">
        <f>281*(100%-'Установка скидки'!$F$11)</f>
        <v>281</v>
      </c>
      <c r="H59" s="335">
        <f>317*(100%-'Установка скидки'!$F$11)</f>
        <v>317</v>
      </c>
      <c r="I59" s="335">
        <f>295*(100%-'Установка скидки'!$F$11)</f>
        <v>295</v>
      </c>
      <c r="J59" s="335">
        <f>317*(100%-'Установка скидки'!$F$11)</f>
        <v>317</v>
      </c>
      <c r="K59" s="554">
        <f>350*(100%-'Установка скидки'!$F$11)</f>
        <v>350</v>
      </c>
      <c r="L59" s="335">
        <f>350*(100%-'Установка скидки'!$F$11)</f>
        <v>350</v>
      </c>
      <c r="M59" s="335">
        <f>385*(100%-'Установка скидки'!$F$11)</f>
        <v>385</v>
      </c>
      <c r="N59" s="335">
        <f>408*(100%-'Установка скидки'!$F$11)</f>
        <v>408</v>
      </c>
      <c r="O59" s="335">
        <f>460*(100%-'Установка скидки'!$F$11)</f>
        <v>460</v>
      </c>
      <c r="P59" s="407">
        <f>542*(100%-'Установка скидки'!$F$11)</f>
        <v>542</v>
      </c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</row>
    <row r="60" spans="1:27" ht="36" customHeight="1" x14ac:dyDescent="0.25">
      <c r="A60" s="511" t="s">
        <v>220</v>
      </c>
      <c r="B60" s="423"/>
      <c r="C60" s="424"/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410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</row>
    <row r="61" spans="1:27" x14ac:dyDescent="0.2">
      <c r="A61" s="505" t="s">
        <v>175</v>
      </c>
      <c r="B61" s="419">
        <f>350*(100%-'Установка скидки'!$F$11)</f>
        <v>350</v>
      </c>
      <c r="C61" s="336">
        <f>357*(100%-'Установка скидки'!$F$11)</f>
        <v>357</v>
      </c>
      <c r="D61" s="336">
        <f>398*(100%-'Установка скидки'!$F$11)</f>
        <v>398</v>
      </c>
      <c r="E61" s="336">
        <f>398*(100%-'Установка скидки'!$F$11)</f>
        <v>398</v>
      </c>
      <c r="F61" s="336">
        <f>452*(100%-'Установка скидки'!$F$11)</f>
        <v>452</v>
      </c>
      <c r="G61" s="336">
        <f>398*(100%-'Установка скидки'!$F$11)</f>
        <v>398</v>
      </c>
      <c r="H61" s="336">
        <f>452*(100%-'Установка скидки'!$F$11)</f>
        <v>452</v>
      </c>
      <c r="I61" s="336">
        <f>404*(100%-'Установка скидки'!$F$11)</f>
        <v>404</v>
      </c>
      <c r="J61" s="336">
        <f>452*(100%-'Установка скидки'!$F$11)</f>
        <v>452</v>
      </c>
      <c r="K61" s="539" t="s">
        <v>0</v>
      </c>
      <c r="L61" s="336">
        <f>463*(100%-'Установка скидки'!$F$11)</f>
        <v>463</v>
      </c>
      <c r="M61" s="336">
        <f>499*(100%-'Установка скидки'!$F$11)</f>
        <v>499</v>
      </c>
      <c r="N61" s="336">
        <f>550*(100%-'Установка скидки'!$F$11)</f>
        <v>550</v>
      </c>
      <c r="O61" s="336">
        <f>564*(100%-'Установка скидки'!$F$11)</f>
        <v>564</v>
      </c>
      <c r="P61" s="408">
        <f>660*(100%-'Установка скидки'!$F$11)</f>
        <v>660</v>
      </c>
      <c r="Q61" s="256"/>
      <c r="R61" s="256"/>
      <c r="S61" s="251"/>
      <c r="T61" s="251"/>
      <c r="U61" s="251"/>
      <c r="V61" s="251"/>
      <c r="W61" s="251"/>
      <c r="X61" s="251"/>
      <c r="Y61" s="251"/>
      <c r="Z61" s="251"/>
      <c r="AA61" s="251"/>
    </row>
    <row r="62" spans="1:27" x14ac:dyDescent="0.2">
      <c r="A62" s="512"/>
      <c r="B62" s="249"/>
      <c r="C62" s="249"/>
      <c r="D62" s="309"/>
      <c r="E62" s="310"/>
      <c r="F62" s="310"/>
      <c r="G62" s="310"/>
      <c r="H62" s="310"/>
      <c r="I62" s="310"/>
      <c r="J62" s="310"/>
      <c r="K62" s="310"/>
      <c r="L62" s="310"/>
      <c r="M62" s="310"/>
      <c r="N62" s="310"/>
      <c r="O62" s="310"/>
      <c r="P62" s="311"/>
      <c r="Q62" s="256"/>
      <c r="R62" s="256"/>
      <c r="S62" s="251"/>
      <c r="T62" s="251"/>
      <c r="U62" s="251"/>
      <c r="V62" s="251"/>
      <c r="W62" s="251"/>
      <c r="X62" s="251"/>
      <c r="Y62" s="251"/>
      <c r="Z62" s="251"/>
      <c r="AA62" s="251"/>
    </row>
    <row r="64" spans="1:27" s="258" customFormat="1" ht="17.25" customHeight="1" x14ac:dyDescent="0.2">
      <c r="A64" s="315"/>
      <c r="B64" s="338"/>
      <c r="C64" s="598"/>
      <c r="D64" s="337"/>
      <c r="E64" s="718" t="s">
        <v>212</v>
      </c>
      <c r="F64" s="698"/>
      <c r="G64" s="698"/>
      <c r="H64" s="698"/>
      <c r="I64" s="698"/>
      <c r="J64" s="698"/>
      <c r="K64" s="698"/>
      <c r="L64" s="698"/>
      <c r="M64" s="698"/>
      <c r="N64" s="698"/>
      <c r="O64" s="698"/>
      <c r="P64" s="698"/>
      <c r="Q64" s="39"/>
      <c r="R64" s="39"/>
      <c r="S64" s="39"/>
      <c r="T64" s="39"/>
      <c r="U64" s="39"/>
      <c r="V64" s="39"/>
      <c r="W64" s="39"/>
      <c r="X64" s="39"/>
      <c r="Y64" s="16"/>
      <c r="Z64" s="16"/>
    </row>
    <row r="65" spans="1:26" s="258" customFormat="1" ht="16.5" customHeight="1" x14ac:dyDescent="0.25">
      <c r="A65" s="316"/>
      <c r="B65" s="548"/>
      <c r="C65" s="599"/>
      <c r="D65" s="549"/>
      <c r="E65" s="719" t="s">
        <v>176</v>
      </c>
      <c r="F65" s="720"/>
      <c r="G65" s="720"/>
      <c r="H65" s="720"/>
      <c r="I65" s="720"/>
      <c r="J65" s="720"/>
      <c r="K65" s="720"/>
      <c r="L65" s="720"/>
      <c r="M65" s="720"/>
      <c r="N65" s="720"/>
      <c r="O65" s="720"/>
      <c r="P65" s="720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258" customFormat="1" ht="16.5" customHeight="1" x14ac:dyDescent="0.2">
      <c r="A66" s="302"/>
      <c r="B66" s="302"/>
      <c r="C66" s="302"/>
      <c r="D66" s="302"/>
      <c r="E66" s="302"/>
      <c r="F66" s="302"/>
      <c r="G66" s="303"/>
      <c r="H66" s="303"/>
      <c r="I66" s="303"/>
      <c r="J66" s="304"/>
      <c r="K66" s="312"/>
      <c r="L66" s="313"/>
      <c r="M66" s="43"/>
      <c r="N66" s="43"/>
      <c r="O66" s="43"/>
      <c r="P66" s="43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x14ac:dyDescent="0.2">
      <c r="A67" s="716" t="s">
        <v>172</v>
      </c>
      <c r="B67" s="717"/>
      <c r="C67" s="717"/>
      <c r="D67" s="717"/>
      <c r="E67" s="717"/>
      <c r="F67" s="717"/>
      <c r="G67" s="717"/>
      <c r="H67" s="717"/>
      <c r="I67" s="717"/>
      <c r="J67" s="717"/>
      <c r="K67" s="717"/>
      <c r="L67" s="717"/>
      <c r="M67" s="717"/>
      <c r="N67" s="717"/>
      <c r="O67" s="717"/>
      <c r="P67" s="717"/>
    </row>
    <row r="68" spans="1:26" ht="21" customHeight="1" x14ac:dyDescent="0.2">
      <c r="A68" s="717"/>
      <c r="B68" s="717"/>
      <c r="C68" s="717"/>
      <c r="D68" s="717"/>
      <c r="E68" s="717"/>
      <c r="F68" s="717"/>
      <c r="G68" s="717"/>
      <c r="H68" s="717"/>
      <c r="I68" s="717"/>
      <c r="J68" s="717"/>
      <c r="K68" s="717"/>
      <c r="L68" s="717"/>
      <c r="M68" s="717"/>
      <c r="N68" s="717"/>
      <c r="O68" s="717"/>
      <c r="P68" s="717"/>
    </row>
    <row r="69" spans="1:26" ht="2.25" customHeight="1" x14ac:dyDescent="0.2">
      <c r="A69" s="721" t="s">
        <v>173</v>
      </c>
      <c r="B69" s="724"/>
      <c r="C69" s="724"/>
      <c r="D69" s="724"/>
      <c r="E69" s="724"/>
      <c r="F69" s="724"/>
      <c r="G69" s="724"/>
      <c r="H69" s="724"/>
      <c r="I69" s="724"/>
      <c r="J69" s="724"/>
      <c r="K69" s="724"/>
      <c r="L69" s="724"/>
      <c r="M69" s="724"/>
      <c r="N69" s="724"/>
      <c r="O69" s="724"/>
      <c r="P69" s="724"/>
    </row>
    <row r="70" spans="1:26" ht="12.75" customHeight="1" x14ac:dyDescent="0.2">
      <c r="A70" s="724"/>
      <c r="B70" s="724"/>
      <c r="C70" s="724"/>
      <c r="D70" s="724"/>
      <c r="E70" s="724"/>
      <c r="F70" s="724"/>
      <c r="G70" s="724"/>
      <c r="H70" s="724"/>
      <c r="I70" s="724"/>
      <c r="J70" s="724"/>
      <c r="K70" s="724"/>
      <c r="L70" s="724"/>
      <c r="M70" s="724"/>
      <c r="N70" s="724"/>
      <c r="O70" s="724"/>
      <c r="P70" s="724"/>
    </row>
    <row r="71" spans="1:26" ht="12.75" customHeight="1" x14ac:dyDescent="0.2">
      <c r="A71" s="724"/>
      <c r="B71" s="724"/>
      <c r="C71" s="724"/>
      <c r="D71" s="724"/>
      <c r="E71" s="724"/>
      <c r="F71" s="724"/>
      <c r="G71" s="724"/>
      <c r="H71" s="724"/>
      <c r="I71" s="724"/>
      <c r="J71" s="724"/>
      <c r="K71" s="724"/>
      <c r="L71" s="724"/>
      <c r="M71" s="724"/>
      <c r="N71" s="724"/>
      <c r="O71" s="724"/>
      <c r="P71" s="724"/>
      <c r="Q71" s="234"/>
      <c r="R71" s="234"/>
      <c r="S71" s="234"/>
      <c r="T71" s="234"/>
      <c r="U71" s="234"/>
      <c r="V71" s="234"/>
    </row>
    <row r="72" spans="1:26" ht="20.25" customHeight="1" x14ac:dyDescent="0.2">
      <c r="A72" s="724"/>
      <c r="B72" s="724"/>
      <c r="C72" s="724"/>
      <c r="D72" s="724"/>
      <c r="E72" s="724"/>
      <c r="F72" s="724"/>
      <c r="G72" s="724"/>
      <c r="H72" s="724"/>
      <c r="I72" s="724"/>
      <c r="J72" s="724"/>
      <c r="K72" s="724"/>
      <c r="L72" s="724"/>
      <c r="M72" s="724"/>
      <c r="N72" s="724"/>
      <c r="O72" s="724"/>
      <c r="P72" s="724"/>
      <c r="Q72" s="306"/>
      <c r="R72" s="306"/>
      <c r="S72" s="306"/>
      <c r="T72" s="306"/>
      <c r="U72" s="306"/>
      <c r="V72" s="306"/>
    </row>
    <row r="73" spans="1:26" ht="19.5" customHeight="1" x14ac:dyDescent="0.2">
      <c r="A73" s="721" t="s">
        <v>174</v>
      </c>
      <c r="B73" s="695"/>
      <c r="C73" s="695"/>
      <c r="D73" s="695"/>
      <c r="E73" s="695"/>
      <c r="F73" s="695"/>
      <c r="G73" s="695"/>
      <c r="H73" s="695"/>
      <c r="I73" s="695"/>
      <c r="J73" s="695"/>
      <c r="K73" s="306"/>
      <c r="L73" s="306"/>
      <c r="M73" s="306"/>
      <c r="N73" s="306"/>
      <c r="O73" s="306"/>
      <c r="P73" s="306"/>
      <c r="Q73" s="234"/>
      <c r="R73" s="234"/>
      <c r="S73" s="234"/>
      <c r="T73" s="234"/>
      <c r="U73" s="234"/>
      <c r="V73" s="234"/>
    </row>
    <row r="74" spans="1:26" x14ac:dyDescent="0.2">
      <c r="U74" s="183"/>
    </row>
  </sheetData>
  <protectedRanges>
    <protectedRange sqref="A59 E1:F1 E5:F5 A61:A62 B8:C11 E7 A8:A12" name="Диапазон1_2_2_1"/>
    <protectedRange sqref="D8:J11" name="Диапазон1_2_10_4_1_1"/>
    <protectedRange sqref="A1:C7" name="Диапазон1_2_1_1_1"/>
    <protectedRange sqref="B69:J70 A67:J68" name="Диапазон1_18_1_1"/>
    <protectedRange sqref="D20 G35 D40:D42 Q13:Q14 A48:B48 F50:F51 B49:D49 A60:C60 B59 B62:C62 A18 O45 S12:U14 H50:H51 A58:C58 A29 J51:M51 N48 D36 L35 D31:P31 A17:C17 P18:P19 A20:C21 P22:P23 P34:P35 P38 P44 O50:P51 P48:P49 A56:A57 A50:C52 B12:Q12 A19:B19 A22:B23 A24:C28 A30:C33 A36:C37 A34:B35 A40:C43 A38:B39 A46:D46 A44:B45 A55:D55 A53:B54 B61 E48 P54 K61 C35 I45:K45 G48 I48 K48:K49 E39:P39 J50:K50 M50 B57:D57 I57:P57" name="Диапазон1_8"/>
    <protectedRange sqref="A49 A47:C47" name="Диапазон1_4_2"/>
    <protectedRange sqref="B15:O15 A13:A16" name="Диапазон1_9"/>
    <protectedRange sqref="E36:G36 D17:O17 N28:O28 Q27 N27 M35:N35 D30:O30 B18 D21:O21 L32:N34 L36:N36 O32:O36 E37:O38 D37 D43:O43 D52:O52 C34 K29:L29 D32:G34 H32:K36 D35:F35 E46:O46 E55:O55 E20:P20 D24:O25 D27:M28 C38:D39 E40:O42" name="Диапазон1_8_10"/>
    <protectedRange sqref="N50:N51 I49:I51 G50:G51 L49:N49 D47:O47 D50:D51 E49:E51 C48:D48 H48 L48:M48 F48:F49 G49:H49 J48:J49 O48:O49 L50 P53" name="Диапазон1_4_2_10"/>
    <protectedRange sqref="C19:O19" name="Диапазон1_10_10"/>
    <protectedRange sqref="C23:O23" name="Диапазон1_11_10"/>
    <protectedRange sqref="L45:N45 C45:H45" name="Диапазон1_14_10"/>
    <protectedRange sqref="C54:O54 K53" name="Диапазон1_16_10"/>
    <protectedRange sqref="C18:O18" name="Диапазон1_4_11"/>
    <protectedRange sqref="C22:O22" name="Диапазон1_5_10"/>
    <protectedRange sqref="C44:O44" name="Диапазон1_7_10"/>
    <protectedRange sqref="D58:O60 C59 D62:O62 C61:J61 L61:O61 L53:O53 C53:J53" name="Диапазон1_17_10"/>
    <protectedRange sqref="D3 E2:J3 D1 D6:J6" name="Диапазон1_1_2_1_1"/>
    <protectedRange sqref="B13:C14 B16" name="Диапазон1_9_3"/>
    <protectedRange sqref="D13:O14 C16:O16" name="Диапазон1_9_10_3"/>
    <protectedRange sqref="A65:C66 D66 A64:E64" name="Диапазон1_2_2_1_1"/>
    <protectedRange sqref="F64:K64 D65 N64:P66 F65:I66 K65:K66 J66" name="Диапазон1_2_6_1_1_1"/>
  </protectedRanges>
  <mergeCells count="13">
    <mergeCell ref="A67:P68"/>
    <mergeCell ref="E64:P64"/>
    <mergeCell ref="E65:P65"/>
    <mergeCell ref="A73:J73"/>
    <mergeCell ref="D1:H5"/>
    <mergeCell ref="O3:P4"/>
    <mergeCell ref="O5:P6"/>
    <mergeCell ref="D6:H6"/>
    <mergeCell ref="A11:A12"/>
    <mergeCell ref="B11:P11"/>
    <mergeCell ref="A69:P72"/>
    <mergeCell ref="B13:P13"/>
    <mergeCell ref="B56:P56"/>
  </mergeCells>
  <pageMargins left="0.19685039370078741" right="0.19685039370078741" top="0.19685039370078741" bottom="0.19685039370078741" header="0.51181102362204722" footer="0.51181102362204722"/>
  <pageSetup paperSize="9" scale="55" orientation="portrait" r:id="rId1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showGridLines="0" tabSelected="1" topLeftCell="A7" zoomScaleNormal="100" workbookViewId="0">
      <selection activeCell="K36" sqref="K36"/>
    </sheetView>
  </sheetViews>
  <sheetFormatPr defaultRowHeight="12.75" x14ac:dyDescent="0.2"/>
  <cols>
    <col min="1" max="1" width="21" style="257" customWidth="1"/>
    <col min="2" max="13" width="8.7109375" style="257" customWidth="1"/>
    <col min="14" max="14" width="8.28515625" style="257" customWidth="1"/>
    <col min="15" max="15" width="6.85546875" style="257" customWidth="1"/>
    <col min="16" max="244" width="9.140625" style="257"/>
    <col min="245" max="245" width="25.42578125" style="257" customWidth="1"/>
    <col min="246" max="500" width="9.140625" style="257"/>
    <col min="501" max="501" width="25.42578125" style="257" customWidth="1"/>
    <col min="502" max="756" width="9.140625" style="257"/>
    <col min="757" max="757" width="25.42578125" style="257" customWidth="1"/>
    <col min="758" max="1012" width="9.140625" style="257"/>
    <col min="1013" max="1013" width="25.42578125" style="257" customWidth="1"/>
    <col min="1014" max="1268" width="9.140625" style="257"/>
    <col min="1269" max="1269" width="25.42578125" style="257" customWidth="1"/>
    <col min="1270" max="1524" width="9.140625" style="257"/>
    <col min="1525" max="1525" width="25.42578125" style="257" customWidth="1"/>
    <col min="1526" max="1780" width="9.140625" style="257"/>
    <col min="1781" max="1781" width="25.42578125" style="257" customWidth="1"/>
    <col min="1782" max="2036" width="9.140625" style="257"/>
    <col min="2037" max="2037" width="25.42578125" style="257" customWidth="1"/>
    <col min="2038" max="2292" width="9.140625" style="257"/>
    <col min="2293" max="2293" width="25.42578125" style="257" customWidth="1"/>
    <col min="2294" max="2548" width="9.140625" style="257"/>
    <col min="2549" max="2549" width="25.42578125" style="257" customWidth="1"/>
    <col min="2550" max="2804" width="9.140625" style="257"/>
    <col min="2805" max="2805" width="25.42578125" style="257" customWidth="1"/>
    <col min="2806" max="3060" width="9.140625" style="257"/>
    <col min="3061" max="3061" width="25.42578125" style="257" customWidth="1"/>
    <col min="3062" max="3316" width="9.140625" style="257"/>
    <col min="3317" max="3317" width="25.42578125" style="257" customWidth="1"/>
    <col min="3318" max="3572" width="9.140625" style="257"/>
    <col min="3573" max="3573" width="25.42578125" style="257" customWidth="1"/>
    <col min="3574" max="3828" width="9.140625" style="257"/>
    <col min="3829" max="3829" width="25.42578125" style="257" customWidth="1"/>
    <col min="3830" max="4084" width="9.140625" style="257"/>
    <col min="4085" max="4085" width="25.42578125" style="257" customWidth="1"/>
    <col min="4086" max="4340" width="9.140625" style="257"/>
    <col min="4341" max="4341" width="25.42578125" style="257" customWidth="1"/>
    <col min="4342" max="4596" width="9.140625" style="257"/>
    <col min="4597" max="4597" width="25.42578125" style="257" customWidth="1"/>
    <col min="4598" max="4852" width="9.140625" style="257"/>
    <col min="4853" max="4853" width="25.42578125" style="257" customWidth="1"/>
    <col min="4854" max="5108" width="9.140625" style="257"/>
    <col min="5109" max="5109" width="25.42578125" style="257" customWidth="1"/>
    <col min="5110" max="5364" width="9.140625" style="257"/>
    <col min="5365" max="5365" width="25.42578125" style="257" customWidth="1"/>
    <col min="5366" max="5620" width="9.140625" style="257"/>
    <col min="5621" max="5621" width="25.42578125" style="257" customWidth="1"/>
    <col min="5622" max="5876" width="9.140625" style="257"/>
    <col min="5877" max="5877" width="25.42578125" style="257" customWidth="1"/>
    <col min="5878" max="6132" width="9.140625" style="257"/>
    <col min="6133" max="6133" width="25.42578125" style="257" customWidth="1"/>
    <col min="6134" max="6388" width="9.140625" style="257"/>
    <col min="6389" max="6389" width="25.42578125" style="257" customWidth="1"/>
    <col min="6390" max="6644" width="9.140625" style="257"/>
    <col min="6645" max="6645" width="25.42578125" style="257" customWidth="1"/>
    <col min="6646" max="6900" width="9.140625" style="257"/>
    <col min="6901" max="6901" width="25.42578125" style="257" customWidth="1"/>
    <col min="6902" max="7156" width="9.140625" style="257"/>
    <col min="7157" max="7157" width="25.42578125" style="257" customWidth="1"/>
    <col min="7158" max="7412" width="9.140625" style="257"/>
    <col min="7413" max="7413" width="25.42578125" style="257" customWidth="1"/>
    <col min="7414" max="7668" width="9.140625" style="257"/>
    <col min="7669" max="7669" width="25.42578125" style="257" customWidth="1"/>
    <col min="7670" max="7924" width="9.140625" style="257"/>
    <col min="7925" max="7925" width="25.42578125" style="257" customWidth="1"/>
    <col min="7926" max="8180" width="9.140625" style="257"/>
    <col min="8181" max="8181" width="25.42578125" style="257" customWidth="1"/>
    <col min="8182" max="8436" width="9.140625" style="257"/>
    <col min="8437" max="8437" width="25.42578125" style="257" customWidth="1"/>
    <col min="8438" max="8692" width="9.140625" style="257"/>
    <col min="8693" max="8693" width="25.42578125" style="257" customWidth="1"/>
    <col min="8694" max="8948" width="9.140625" style="257"/>
    <col min="8949" max="8949" width="25.42578125" style="257" customWidth="1"/>
    <col min="8950" max="9204" width="9.140625" style="257"/>
    <col min="9205" max="9205" width="25.42578125" style="257" customWidth="1"/>
    <col min="9206" max="9460" width="9.140625" style="257"/>
    <col min="9461" max="9461" width="25.42578125" style="257" customWidth="1"/>
    <col min="9462" max="9716" width="9.140625" style="257"/>
    <col min="9717" max="9717" width="25.42578125" style="257" customWidth="1"/>
    <col min="9718" max="9972" width="9.140625" style="257"/>
    <col min="9973" max="9973" width="25.42578125" style="257" customWidth="1"/>
    <col min="9974" max="10228" width="9.140625" style="257"/>
    <col min="10229" max="10229" width="25.42578125" style="257" customWidth="1"/>
    <col min="10230" max="10484" width="9.140625" style="257"/>
    <col min="10485" max="10485" width="25.42578125" style="257" customWidth="1"/>
    <col min="10486" max="10740" width="9.140625" style="257"/>
    <col min="10741" max="10741" width="25.42578125" style="257" customWidth="1"/>
    <col min="10742" max="10996" width="9.140625" style="257"/>
    <col min="10997" max="10997" width="25.42578125" style="257" customWidth="1"/>
    <col min="10998" max="11252" width="9.140625" style="257"/>
    <col min="11253" max="11253" width="25.42578125" style="257" customWidth="1"/>
    <col min="11254" max="11508" width="9.140625" style="257"/>
    <col min="11509" max="11509" width="25.42578125" style="257" customWidth="1"/>
    <col min="11510" max="11764" width="9.140625" style="257"/>
    <col min="11765" max="11765" width="25.42578125" style="257" customWidth="1"/>
    <col min="11766" max="12020" width="9.140625" style="257"/>
    <col min="12021" max="12021" width="25.42578125" style="257" customWidth="1"/>
    <col min="12022" max="12276" width="9.140625" style="257"/>
    <col min="12277" max="12277" width="25.42578125" style="257" customWidth="1"/>
    <col min="12278" max="12532" width="9.140625" style="257"/>
    <col min="12533" max="12533" width="25.42578125" style="257" customWidth="1"/>
    <col min="12534" max="12788" width="9.140625" style="257"/>
    <col min="12789" max="12789" width="25.42578125" style="257" customWidth="1"/>
    <col min="12790" max="13044" width="9.140625" style="257"/>
    <col min="13045" max="13045" width="25.42578125" style="257" customWidth="1"/>
    <col min="13046" max="13300" width="9.140625" style="257"/>
    <col min="13301" max="13301" width="25.42578125" style="257" customWidth="1"/>
    <col min="13302" max="13556" width="9.140625" style="257"/>
    <col min="13557" max="13557" width="25.42578125" style="257" customWidth="1"/>
    <col min="13558" max="13812" width="9.140625" style="257"/>
    <col min="13813" max="13813" width="25.42578125" style="257" customWidth="1"/>
    <col min="13814" max="14068" width="9.140625" style="257"/>
    <col min="14069" max="14069" width="25.42578125" style="257" customWidth="1"/>
    <col min="14070" max="14324" width="9.140625" style="257"/>
    <col min="14325" max="14325" width="25.42578125" style="257" customWidth="1"/>
    <col min="14326" max="14580" width="9.140625" style="257"/>
    <col min="14581" max="14581" width="25.42578125" style="257" customWidth="1"/>
    <col min="14582" max="14836" width="9.140625" style="257"/>
    <col min="14837" max="14837" width="25.42578125" style="257" customWidth="1"/>
    <col min="14838" max="15092" width="9.140625" style="257"/>
    <col min="15093" max="15093" width="25.42578125" style="257" customWidth="1"/>
    <col min="15094" max="15348" width="9.140625" style="257"/>
    <col min="15349" max="15349" width="25.42578125" style="257" customWidth="1"/>
    <col min="15350" max="15604" width="9.140625" style="257"/>
    <col min="15605" max="15605" width="25.42578125" style="257" customWidth="1"/>
    <col min="15606" max="15860" width="9.140625" style="257"/>
    <col min="15861" max="15861" width="25.42578125" style="257" customWidth="1"/>
    <col min="15862" max="16116" width="9.140625" style="257"/>
    <col min="16117" max="16117" width="25.42578125" style="257" customWidth="1"/>
    <col min="16118" max="16384" width="9.140625" style="257"/>
  </cols>
  <sheetData>
    <row r="1" spans="1:16" ht="15" customHeight="1" x14ac:dyDescent="0.25">
      <c r="A1" s="265" t="s">
        <v>184</v>
      </c>
    </row>
    <row r="2" spans="1:16" ht="18" x14ac:dyDescent="0.25">
      <c r="A2" s="265"/>
      <c r="C2" s="266"/>
      <c r="D2" s="267"/>
      <c r="E2" s="267"/>
      <c r="F2" s="267"/>
      <c r="G2" s="267"/>
      <c r="H2" s="267"/>
      <c r="I2" s="267"/>
      <c r="J2" s="267"/>
    </row>
    <row r="3" spans="1:16" ht="15" customHeight="1" x14ac:dyDescent="0.25">
      <c r="A3" s="265"/>
      <c r="C3" s="268"/>
      <c r="D3" s="268"/>
      <c r="E3" s="268"/>
      <c r="F3" s="268"/>
      <c r="G3" s="268"/>
      <c r="H3" s="268"/>
      <c r="I3" s="268"/>
      <c r="J3" s="268"/>
    </row>
    <row r="4" spans="1:16" ht="15" customHeight="1" x14ac:dyDescent="0.2">
      <c r="A4" s="14"/>
      <c r="C4" s="269"/>
      <c r="D4" s="732"/>
      <c r="E4" s="733"/>
      <c r="F4" s="733"/>
      <c r="G4" s="733"/>
      <c r="H4" s="733"/>
      <c r="I4" s="733"/>
      <c r="J4" s="733"/>
      <c r="K4" s="733"/>
    </row>
    <row r="5" spans="1:16" ht="15.75" customHeight="1" x14ac:dyDescent="0.25">
      <c r="A5" s="265"/>
      <c r="C5" s="269"/>
      <c r="D5" s="733"/>
      <c r="E5" s="733"/>
      <c r="F5" s="733"/>
      <c r="G5" s="733"/>
      <c r="H5" s="733"/>
      <c r="I5" s="733"/>
      <c r="J5" s="733"/>
      <c r="K5" s="733"/>
    </row>
    <row r="6" spans="1:16" ht="15.75" customHeight="1" thickBot="1" x14ac:dyDescent="0.3">
      <c r="A6" s="265"/>
      <c r="C6" s="269"/>
      <c r="D6" s="733"/>
      <c r="E6" s="733"/>
      <c r="F6" s="733"/>
      <c r="G6" s="733"/>
      <c r="H6" s="733"/>
      <c r="I6" s="733"/>
      <c r="J6" s="733"/>
      <c r="K6" s="733"/>
    </row>
    <row r="7" spans="1:16" ht="16.5" customHeight="1" thickBot="1" x14ac:dyDescent="0.25">
      <c r="A7" s="742" t="s">
        <v>126</v>
      </c>
      <c r="B7" s="743"/>
      <c r="C7" s="743"/>
      <c r="D7" s="743"/>
      <c r="E7" s="743"/>
      <c r="F7" s="743"/>
      <c r="G7" s="743"/>
      <c r="H7" s="743"/>
      <c r="I7" s="743"/>
      <c r="J7" s="743"/>
      <c r="K7" s="743"/>
      <c r="L7" s="743"/>
      <c r="M7" s="743"/>
      <c r="N7" s="743"/>
      <c r="O7" s="743"/>
      <c r="P7" s="744"/>
    </row>
    <row r="8" spans="1:16" ht="16.5" thickBot="1" x14ac:dyDescent="0.25">
      <c r="A8" s="745" t="s">
        <v>35</v>
      </c>
      <c r="B8" s="746"/>
      <c r="C8" s="746"/>
      <c r="D8" s="746"/>
      <c r="E8" s="746"/>
      <c r="F8" s="746"/>
      <c r="G8" s="746"/>
      <c r="H8" s="746"/>
      <c r="I8" s="746"/>
      <c r="J8" s="746"/>
      <c r="K8" s="746"/>
      <c r="L8" s="746"/>
      <c r="M8" s="746"/>
      <c r="N8" s="746"/>
      <c r="O8" s="746"/>
      <c r="P8" s="747"/>
    </row>
    <row r="9" spans="1:16" ht="13.5" thickBot="1" x14ac:dyDescent="0.25">
      <c r="A9" s="637" t="s">
        <v>14</v>
      </c>
      <c r="B9" s="748" t="s">
        <v>180</v>
      </c>
      <c r="C9" s="749"/>
      <c r="D9" s="749"/>
      <c r="E9" s="749"/>
      <c r="F9" s="749"/>
      <c r="G9" s="749"/>
      <c r="H9" s="749"/>
      <c r="I9" s="749"/>
      <c r="J9" s="749"/>
      <c r="K9" s="749"/>
      <c r="L9" s="749"/>
      <c r="M9" s="749"/>
      <c r="N9" s="749"/>
      <c r="O9" s="749"/>
      <c r="P9" s="750"/>
    </row>
    <row r="10" spans="1:16" ht="13.5" thickBot="1" x14ac:dyDescent="0.25">
      <c r="A10" s="270" t="s">
        <v>182</v>
      </c>
      <c r="B10" s="271">
        <v>80</v>
      </c>
      <c r="C10" s="273">
        <v>100</v>
      </c>
      <c r="D10" s="271">
        <v>110</v>
      </c>
      <c r="E10" s="271">
        <v>115</v>
      </c>
      <c r="F10" s="271">
        <v>120</v>
      </c>
      <c r="G10" s="273">
        <v>125</v>
      </c>
      <c r="H10" s="271">
        <v>130</v>
      </c>
      <c r="I10" s="272">
        <v>135</v>
      </c>
      <c r="J10" s="271">
        <v>140</v>
      </c>
      <c r="K10" s="271">
        <v>150</v>
      </c>
      <c r="L10" s="271">
        <v>160</v>
      </c>
      <c r="M10" s="271">
        <v>180</v>
      </c>
      <c r="N10" s="271">
        <v>200</v>
      </c>
      <c r="O10" s="273">
        <v>220</v>
      </c>
      <c r="P10" s="273">
        <v>250</v>
      </c>
    </row>
    <row r="11" spans="1:16" ht="15.75" thickBot="1" x14ac:dyDescent="0.25">
      <c r="A11" s="138">
        <v>80</v>
      </c>
      <c r="B11" s="494">
        <f>109*(100%-'Установка скидки'!$F$11)</f>
        <v>109</v>
      </c>
      <c r="C11" s="494">
        <f>442*(100%-'Установка скидки'!$F$11)</f>
        <v>442</v>
      </c>
      <c r="D11" s="494">
        <f>442*(100%-'Установка скидки'!$F$11)</f>
        <v>442</v>
      </c>
      <c r="E11" s="494">
        <f>442*(100%-'Установка скидки'!$F$11)</f>
        <v>442</v>
      </c>
      <c r="F11" s="494">
        <f>442*(100%-'Установка скидки'!$F$11)</f>
        <v>442</v>
      </c>
      <c r="G11" s="578"/>
      <c r="H11" s="348"/>
      <c r="I11" s="349"/>
      <c r="J11" s="349"/>
      <c r="K11" s="349"/>
      <c r="L11" s="349"/>
      <c r="M11" s="349"/>
      <c r="N11" s="874"/>
      <c r="O11" s="349"/>
      <c r="P11" s="350"/>
    </row>
    <row r="12" spans="1:16" ht="15.75" thickBot="1" x14ac:dyDescent="0.25">
      <c r="A12" s="274">
        <v>100</v>
      </c>
      <c r="B12" s="351"/>
      <c r="C12" s="494">
        <f>126*(100%-'Установка скидки'!$F$11)</f>
        <v>126</v>
      </c>
      <c r="D12" s="347">
        <f>243*(100%-'Установка скидки'!$F$11)</f>
        <v>243</v>
      </c>
      <c r="E12" s="347">
        <f>243*(100%-'Установка скидки'!$F$11)</f>
        <v>243</v>
      </c>
      <c r="F12" s="347">
        <f>243*(100%-'Установка скидки'!$F$11)</f>
        <v>243</v>
      </c>
      <c r="G12" s="361"/>
      <c r="H12" s="352"/>
      <c r="I12" s="353"/>
      <c r="J12" s="353"/>
      <c r="K12" s="353"/>
      <c r="L12" s="353"/>
      <c r="M12" s="353"/>
      <c r="N12" s="360"/>
      <c r="O12" s="353"/>
      <c r="P12" s="354"/>
    </row>
    <row r="13" spans="1:16" ht="15.75" thickBot="1" x14ac:dyDescent="0.25">
      <c r="A13" s="274">
        <v>110</v>
      </c>
      <c r="B13" s="577"/>
      <c r="C13" s="359"/>
      <c r="D13" s="494">
        <f>176*(100%-'Установка скидки'!$F$11)</f>
        <v>176</v>
      </c>
      <c r="E13" s="347">
        <f>243*(100%-'Установка скидки'!$F$11)</f>
        <v>243</v>
      </c>
      <c r="F13" s="347">
        <f>243*(100%-'Установка скидки'!$F$11)</f>
        <v>243</v>
      </c>
      <c r="G13" s="361"/>
      <c r="H13" s="352"/>
      <c r="I13" s="353"/>
      <c r="J13" s="353"/>
      <c r="K13" s="353"/>
      <c r="L13" s="353"/>
      <c r="M13" s="353"/>
      <c r="N13" s="360"/>
      <c r="O13" s="353"/>
      <c r="P13" s="354"/>
    </row>
    <row r="14" spans="1:16" ht="15.75" thickBot="1" x14ac:dyDescent="0.25">
      <c r="A14" s="274">
        <v>115</v>
      </c>
      <c r="B14" s="355"/>
      <c r="C14" s="356"/>
      <c r="D14" s="356"/>
      <c r="E14" s="494">
        <f>195*(100%-'Установка скидки'!$F$11)</f>
        <v>195</v>
      </c>
      <c r="F14" s="347">
        <f>243*(100%-'Установка скидки'!$F$11)</f>
        <v>243</v>
      </c>
      <c r="G14" s="357"/>
      <c r="H14" s="357"/>
      <c r="I14" s="353"/>
      <c r="J14" s="358"/>
      <c r="K14" s="358"/>
      <c r="L14" s="353"/>
      <c r="M14" s="353"/>
      <c r="N14" s="360"/>
      <c r="O14" s="353"/>
      <c r="P14" s="354"/>
    </row>
    <row r="15" spans="1:16" ht="15.75" thickBot="1" x14ac:dyDescent="0.25">
      <c r="A15" s="274">
        <v>120</v>
      </c>
      <c r="B15" s="355"/>
      <c r="C15" s="353"/>
      <c r="D15" s="353"/>
      <c r="E15" s="359"/>
      <c r="F15" s="494">
        <f>195*(100%-'Установка скидки'!$F$11)</f>
        <v>195</v>
      </c>
      <c r="G15" s="541">
        <f>248*(100%-'Установка скидки'!$F$11)</f>
        <v>248</v>
      </c>
      <c r="H15" s="494">
        <f>248*(100%-'Установка скидки'!$F$11)</f>
        <v>248</v>
      </c>
      <c r="I15" s="360"/>
      <c r="J15" s="363"/>
      <c r="K15" s="494">
        <f>577*(100%-'Установка скидки'!$F$11)</f>
        <v>577</v>
      </c>
      <c r="L15" s="361"/>
      <c r="M15" s="346"/>
      <c r="N15" s="363"/>
      <c r="O15" s="353"/>
      <c r="P15" s="354"/>
    </row>
    <row r="16" spans="1:16" ht="15.75" thickBot="1" x14ac:dyDescent="0.25">
      <c r="A16" s="274">
        <v>125</v>
      </c>
      <c r="B16" s="355"/>
      <c r="C16" s="353"/>
      <c r="D16" s="353"/>
      <c r="E16" s="346"/>
      <c r="F16" s="359"/>
      <c r="G16" s="494">
        <f>209*(100%-'Установка скидки'!$F$11)</f>
        <v>209</v>
      </c>
      <c r="H16" s="494">
        <f>248*(100%-'Установка скидки'!$F$11)</f>
        <v>248</v>
      </c>
      <c r="I16" s="475"/>
      <c r="J16" s="362"/>
      <c r="K16" s="362"/>
      <c r="L16" s="346"/>
      <c r="M16" s="346"/>
      <c r="N16" s="363"/>
      <c r="O16" s="353"/>
      <c r="P16" s="354"/>
    </row>
    <row r="17" spans="1:16" ht="15.75" thickBot="1" x14ac:dyDescent="0.25">
      <c r="A17" s="274">
        <v>130</v>
      </c>
      <c r="B17" s="355"/>
      <c r="C17" s="353"/>
      <c r="D17" s="353"/>
      <c r="E17" s="346"/>
      <c r="F17" s="363"/>
      <c r="G17" s="359"/>
      <c r="H17" s="494">
        <f>212*(100%-'Установка скидки'!$F$11)</f>
        <v>212</v>
      </c>
      <c r="I17" s="494">
        <f>268*(100%-'Установка скидки'!$F$11)</f>
        <v>268</v>
      </c>
      <c r="J17" s="494">
        <f>268*(100%-'Установка скидки'!$F$11)</f>
        <v>268</v>
      </c>
      <c r="K17" s="494">
        <f>268*(100%-'Установка скидки'!$F$11)</f>
        <v>268</v>
      </c>
      <c r="L17" s="361"/>
      <c r="M17" s="346"/>
      <c r="N17" s="363"/>
      <c r="O17" s="353"/>
      <c r="P17" s="354"/>
    </row>
    <row r="18" spans="1:16" ht="15.75" thickBot="1" x14ac:dyDescent="0.25">
      <c r="A18" s="274">
        <v>135</v>
      </c>
      <c r="B18" s="355"/>
      <c r="C18" s="353"/>
      <c r="D18" s="353"/>
      <c r="E18" s="353"/>
      <c r="F18" s="360"/>
      <c r="G18" s="353"/>
      <c r="H18" s="580"/>
      <c r="I18" s="494">
        <f>223*(100%-'Установка скидки'!$F$11)</f>
        <v>223</v>
      </c>
      <c r="J18" s="380"/>
      <c r="K18" s="541">
        <f>268*(100%-'Установка скидки'!$F$11)</f>
        <v>268</v>
      </c>
      <c r="L18" s="361"/>
      <c r="M18" s="346"/>
      <c r="N18" s="363"/>
      <c r="O18" s="353"/>
      <c r="P18" s="354"/>
    </row>
    <row r="19" spans="1:16" ht="15.75" thickBot="1" x14ac:dyDescent="0.25">
      <c r="A19" s="274">
        <v>140</v>
      </c>
      <c r="B19" s="355"/>
      <c r="C19" s="353"/>
      <c r="D19" s="353"/>
      <c r="E19" s="353"/>
      <c r="F19" s="353"/>
      <c r="G19" s="353"/>
      <c r="H19" s="353"/>
      <c r="I19" s="356"/>
      <c r="J19" s="363"/>
      <c r="K19" s="494">
        <f>268*(100%-'Установка скидки'!$F$11)</f>
        <v>268</v>
      </c>
      <c r="L19" s="357"/>
      <c r="M19" s="364"/>
      <c r="N19" s="875"/>
      <c r="O19" s="353"/>
      <c r="P19" s="354"/>
    </row>
    <row r="20" spans="1:16" ht="15.75" thickBot="1" x14ac:dyDescent="0.25">
      <c r="A20" s="274">
        <v>150</v>
      </c>
      <c r="B20" s="355"/>
      <c r="C20" s="353"/>
      <c r="D20" s="353"/>
      <c r="E20" s="353"/>
      <c r="F20" s="353"/>
      <c r="G20" s="353"/>
      <c r="H20" s="353"/>
      <c r="I20" s="360"/>
      <c r="J20" s="363"/>
      <c r="K20" s="494">
        <f>240*(100%-'Установка скидки'!$F$11)</f>
        <v>240</v>
      </c>
      <c r="L20" s="494">
        <f>307*(100%-'Установка скидки'!$F$11)</f>
        <v>307</v>
      </c>
      <c r="M20" s="494">
        <f>368*(100%-'Установка скидки'!$F$11)</f>
        <v>368</v>
      </c>
      <c r="N20" s="494">
        <f>719*(100%-'Установка скидки'!$F$11)</f>
        <v>719</v>
      </c>
      <c r="O20" s="352"/>
      <c r="P20" s="354"/>
    </row>
    <row r="21" spans="1:16" ht="15.75" thickBot="1" x14ac:dyDescent="0.25">
      <c r="A21" s="274">
        <v>160</v>
      </c>
      <c r="B21" s="355"/>
      <c r="C21" s="353"/>
      <c r="D21" s="353"/>
      <c r="E21" s="353"/>
      <c r="F21" s="353"/>
      <c r="G21" s="353"/>
      <c r="H21" s="353"/>
      <c r="I21" s="353"/>
      <c r="J21" s="359"/>
      <c r="K21" s="359"/>
      <c r="L21" s="494">
        <f>252*(100%-'Установка скидки'!$F$11)</f>
        <v>252</v>
      </c>
      <c r="M21" s="494">
        <f>368*(100%-'Установка скидки'!$F$11)</f>
        <v>368</v>
      </c>
      <c r="N21" s="494">
        <f>719*(100%-'Установка скидки'!$F$11)</f>
        <v>719</v>
      </c>
      <c r="O21" s="352"/>
      <c r="P21" s="354"/>
    </row>
    <row r="22" spans="1:16" ht="15.75" thickBot="1" x14ac:dyDescent="0.25">
      <c r="A22" s="274">
        <v>180</v>
      </c>
      <c r="B22" s="355"/>
      <c r="C22" s="353"/>
      <c r="D22" s="353"/>
      <c r="E22" s="353"/>
      <c r="F22" s="353"/>
      <c r="G22" s="353"/>
      <c r="H22" s="353"/>
      <c r="I22" s="353"/>
      <c r="J22" s="346"/>
      <c r="K22" s="346"/>
      <c r="L22" s="397"/>
      <c r="M22" s="494">
        <f>281*(100%-'Установка скидки'!$F$11)</f>
        <v>281</v>
      </c>
      <c r="N22" s="494">
        <f>368*(100%-'Установка скидки'!$F$11)</f>
        <v>368</v>
      </c>
      <c r="O22" s="475"/>
      <c r="P22" s="877"/>
    </row>
    <row r="23" spans="1:16" ht="15.75" thickBot="1" x14ac:dyDescent="0.25">
      <c r="A23" s="274">
        <v>200</v>
      </c>
      <c r="B23" s="355"/>
      <c r="C23" s="353"/>
      <c r="D23" s="353"/>
      <c r="E23" s="353"/>
      <c r="F23" s="353"/>
      <c r="G23" s="353"/>
      <c r="H23" s="353"/>
      <c r="I23" s="353"/>
      <c r="J23" s="346"/>
      <c r="K23" s="346"/>
      <c r="L23" s="346"/>
      <c r="M23" s="359"/>
      <c r="N23" s="494">
        <f>307*(100%-'Установка скидки'!$F$11)</f>
        <v>307</v>
      </c>
      <c r="O23" s="879">
        <f>420*(100%-'Установка скидки'!$F$11)</f>
        <v>420</v>
      </c>
      <c r="P23" s="347">
        <f>951*(100%-'Установка скидки'!$F$11)</f>
        <v>951</v>
      </c>
    </row>
    <row r="24" spans="1:16" ht="15.75" thickBot="1" x14ac:dyDescent="0.25">
      <c r="A24" s="274">
        <v>250</v>
      </c>
      <c r="B24" s="276"/>
      <c r="C24" s="275"/>
      <c r="D24" s="275"/>
      <c r="E24" s="275"/>
      <c r="F24" s="275"/>
      <c r="G24" s="275"/>
      <c r="H24" s="275"/>
      <c r="I24" s="275"/>
      <c r="J24" s="44"/>
      <c r="K24" s="44"/>
      <c r="L24" s="44"/>
      <c r="M24" s="44"/>
      <c r="N24" s="397"/>
      <c r="O24" s="397"/>
      <c r="P24" s="494">
        <f>369*(100%-'Установка скидки'!$F$11)</f>
        <v>369</v>
      </c>
    </row>
    <row r="25" spans="1:16" ht="14.25" customHeight="1" thickBot="1" x14ac:dyDescent="0.25">
      <c r="A25" s="277">
        <v>300</v>
      </c>
      <c r="B25" s="278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876"/>
      <c r="O25" s="878"/>
      <c r="P25" s="579"/>
    </row>
    <row r="26" spans="1:1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6" ht="13.5" thickBo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6" ht="18.75" thickBot="1" x14ac:dyDescent="0.3">
      <c r="A28" s="737" t="s">
        <v>127</v>
      </c>
      <c r="B28" s="738"/>
      <c r="C28" s="738"/>
      <c r="D28" s="738"/>
      <c r="E28" s="738"/>
      <c r="F28" s="738"/>
      <c r="G28" s="738"/>
      <c r="H28" s="738"/>
      <c r="I28" s="738"/>
      <c r="J28" s="738"/>
      <c r="K28" s="738"/>
      <c r="L28" s="738"/>
      <c r="M28" s="738"/>
      <c r="N28" s="738"/>
      <c r="O28" s="739"/>
      <c r="P28" s="84"/>
    </row>
    <row r="29" spans="1:16" ht="16.5" thickBot="1" x14ac:dyDescent="0.3">
      <c r="A29" s="740" t="s">
        <v>35</v>
      </c>
      <c r="B29" s="738"/>
      <c r="C29" s="738"/>
      <c r="D29" s="738"/>
      <c r="E29" s="738"/>
      <c r="F29" s="738"/>
      <c r="G29" s="738"/>
      <c r="H29" s="738"/>
      <c r="I29" s="738"/>
      <c r="J29" s="738"/>
      <c r="K29" s="738"/>
      <c r="L29" s="738"/>
      <c r="M29" s="738"/>
      <c r="N29" s="738"/>
      <c r="O29" s="739"/>
      <c r="P29" s="382"/>
    </row>
    <row r="30" spans="1:16" ht="13.5" thickBot="1" x14ac:dyDescent="0.25">
      <c r="A30" s="286" t="s">
        <v>14</v>
      </c>
      <c r="B30" s="741" t="s">
        <v>171</v>
      </c>
      <c r="C30" s="738"/>
      <c r="D30" s="738"/>
      <c r="E30" s="738"/>
      <c r="F30" s="738"/>
      <c r="G30" s="738"/>
      <c r="H30" s="738"/>
      <c r="I30" s="738"/>
      <c r="J30" s="738"/>
      <c r="K30" s="738"/>
      <c r="L30" s="738"/>
      <c r="M30" s="738"/>
      <c r="N30" s="738"/>
      <c r="O30" s="739"/>
      <c r="P30" s="381"/>
    </row>
    <row r="31" spans="1:16" ht="13.5" thickBot="1" x14ac:dyDescent="0.25">
      <c r="A31" s="280" t="s">
        <v>181</v>
      </c>
      <c r="B31" s="283">
        <v>80</v>
      </c>
      <c r="C31" s="271">
        <v>100</v>
      </c>
      <c r="D31" s="345">
        <v>110</v>
      </c>
      <c r="E31" s="271">
        <v>115</v>
      </c>
      <c r="F31" s="271">
        <v>120</v>
      </c>
      <c r="G31" s="271">
        <v>125</v>
      </c>
      <c r="H31" s="271">
        <v>130</v>
      </c>
      <c r="I31" s="271">
        <v>135</v>
      </c>
      <c r="J31" s="283">
        <v>140</v>
      </c>
      <c r="K31" s="272">
        <v>150</v>
      </c>
      <c r="L31" s="271">
        <v>160</v>
      </c>
      <c r="M31" s="271">
        <v>180</v>
      </c>
      <c r="N31" s="271">
        <v>200</v>
      </c>
      <c r="O31" s="273">
        <v>250</v>
      </c>
      <c r="P31" s="383"/>
    </row>
    <row r="32" spans="1:16" ht="15.75" thickBot="1" x14ac:dyDescent="0.25">
      <c r="A32" s="284">
        <v>80</v>
      </c>
      <c r="B32" s="385"/>
      <c r="C32" s="494">
        <f>446*(100%-'Установка скидки'!$F$11)</f>
        <v>446</v>
      </c>
      <c r="D32" s="494">
        <f>480*(100%-'Установка скидки'!$F$11)</f>
        <v>480</v>
      </c>
      <c r="E32" s="488"/>
      <c r="F32" s="386"/>
      <c r="G32" s="386"/>
      <c r="H32" s="386"/>
      <c r="I32" s="386"/>
      <c r="J32" s="386"/>
      <c r="K32" s="386"/>
      <c r="L32" s="386"/>
      <c r="M32" s="386"/>
      <c r="N32" s="386"/>
      <c r="O32" s="387"/>
      <c r="P32" s="384"/>
    </row>
    <row r="33" spans="1:16" ht="15.75" thickBot="1" x14ac:dyDescent="0.25">
      <c r="A33" s="285">
        <v>100</v>
      </c>
      <c r="B33" s="281"/>
      <c r="C33" s="489"/>
      <c r="D33" s="494">
        <f>224*(100%-'Установка скидки'!$F$11)</f>
        <v>224</v>
      </c>
      <c r="E33" s="491"/>
      <c r="F33" s="493"/>
      <c r="G33" s="44"/>
      <c r="H33" s="44"/>
      <c r="I33" s="44"/>
      <c r="J33" s="44"/>
      <c r="K33" s="44"/>
      <c r="L33" s="44"/>
      <c r="M33" s="44"/>
      <c r="N33" s="44"/>
      <c r="O33" s="388"/>
      <c r="P33" s="384"/>
    </row>
    <row r="34" spans="1:16" ht="15.75" thickBot="1" x14ac:dyDescent="0.25">
      <c r="A34" s="285">
        <v>110</v>
      </c>
      <c r="B34" s="281"/>
      <c r="C34" s="282"/>
      <c r="D34" s="397"/>
      <c r="E34" s="494">
        <f>224*(100%-'Установка скидки'!$F$11)</f>
        <v>224</v>
      </c>
      <c r="F34" s="494">
        <f>224*(100%-'Установка скидки'!$F$11)</f>
        <v>224</v>
      </c>
      <c r="G34" s="486"/>
      <c r="H34" s="493"/>
      <c r="I34" s="44"/>
      <c r="J34" s="44"/>
      <c r="K34" s="44"/>
      <c r="L34" s="44"/>
      <c r="M34" s="44"/>
      <c r="N34" s="44"/>
      <c r="O34" s="388"/>
      <c r="P34" s="384"/>
    </row>
    <row r="35" spans="1:16" ht="15.75" thickBot="1" x14ac:dyDescent="0.25">
      <c r="A35" s="285">
        <v>115</v>
      </c>
      <c r="B35" s="485"/>
      <c r="C35" s="282"/>
      <c r="D35" s="486"/>
      <c r="E35" s="623"/>
      <c r="F35" s="494">
        <f>227*(100%-'Установка скидки'!$F$11)</f>
        <v>227</v>
      </c>
      <c r="G35" s="624"/>
      <c r="H35" s="494">
        <f>410*(100%-'Установка скидки'!$F$11)</f>
        <v>410</v>
      </c>
      <c r="I35" s="486"/>
      <c r="J35" s="44"/>
      <c r="K35" s="493"/>
      <c r="L35" s="44"/>
      <c r="M35" s="44"/>
      <c r="N35" s="44"/>
      <c r="O35" s="388"/>
      <c r="P35" s="384"/>
    </row>
    <row r="36" spans="1:16" ht="15.75" thickBot="1" x14ac:dyDescent="0.25">
      <c r="A36" s="285">
        <v>120</v>
      </c>
      <c r="B36" s="281"/>
      <c r="C36" s="487"/>
      <c r="D36" s="492"/>
      <c r="E36" s="494">
        <f>227*(100%-'Установка скидки'!$F$11)</f>
        <v>227</v>
      </c>
      <c r="F36" s="625"/>
      <c r="G36" s="44"/>
      <c r="H36" s="490"/>
      <c r="I36" s="44"/>
      <c r="J36" s="492"/>
      <c r="K36" s="494">
        <f>643*(100%-'Установка скидки'!$F$11)</f>
        <v>643</v>
      </c>
      <c r="L36" s="361"/>
      <c r="M36" s="44"/>
      <c r="N36" s="44"/>
      <c r="O36" s="388"/>
      <c r="P36" s="384"/>
    </row>
    <row r="37" spans="1:16" ht="15.75" thickBot="1" x14ac:dyDescent="0.25">
      <c r="A37" s="285">
        <v>125</v>
      </c>
      <c r="B37" s="281"/>
      <c r="C37" s="282"/>
      <c r="D37" s="44"/>
      <c r="E37" s="490"/>
      <c r="F37" s="44"/>
      <c r="G37" s="44"/>
      <c r="H37" s="44"/>
      <c r="I37" s="44"/>
      <c r="J37" s="493"/>
      <c r="K37" s="490"/>
      <c r="L37" s="346"/>
      <c r="M37" s="44"/>
      <c r="N37" s="44"/>
      <c r="O37" s="388"/>
      <c r="P37" s="384"/>
    </row>
    <row r="38" spans="1:16" ht="15.75" thickBot="1" x14ac:dyDescent="0.25">
      <c r="A38" s="285">
        <v>130</v>
      </c>
      <c r="B38" s="281"/>
      <c r="C38" s="282"/>
      <c r="D38" s="44"/>
      <c r="E38" s="44"/>
      <c r="F38" s="44"/>
      <c r="G38" s="44"/>
      <c r="H38" s="44"/>
      <c r="I38" s="492"/>
      <c r="J38" s="494">
        <f>253*(100%-'Установка скидки'!$F$11)</f>
        <v>253</v>
      </c>
      <c r="K38" s="361"/>
      <c r="L38" s="346"/>
      <c r="M38" s="44"/>
      <c r="N38" s="44"/>
      <c r="O38" s="388"/>
      <c r="P38" s="384"/>
    </row>
    <row r="39" spans="1:16" ht="15.75" thickBot="1" x14ac:dyDescent="0.25">
      <c r="A39" s="285">
        <v>135</v>
      </c>
      <c r="B39" s="281"/>
      <c r="C39" s="282"/>
      <c r="D39" s="44"/>
      <c r="E39" s="44"/>
      <c r="F39" s="44"/>
      <c r="G39" s="44"/>
      <c r="H39" s="44"/>
      <c r="I39" s="44"/>
      <c r="J39" s="490"/>
      <c r="K39" s="493"/>
      <c r="L39" s="346"/>
      <c r="M39" s="44"/>
      <c r="N39" s="44"/>
      <c r="O39" s="388"/>
      <c r="P39" s="384"/>
    </row>
    <row r="40" spans="1:16" ht="15.75" thickBot="1" x14ac:dyDescent="0.25">
      <c r="A40" s="285">
        <v>140</v>
      </c>
      <c r="B40" s="281"/>
      <c r="C40" s="282"/>
      <c r="D40" s="44"/>
      <c r="E40" s="44"/>
      <c r="F40" s="44"/>
      <c r="G40" s="493"/>
      <c r="H40" s="493"/>
      <c r="I40" s="493"/>
      <c r="J40" s="495"/>
      <c r="K40" s="494">
        <f>267*(100%-'Установка скидки'!$F$11)</f>
        <v>267</v>
      </c>
      <c r="L40" s="357"/>
      <c r="M40" s="493"/>
      <c r="N40" s="493"/>
      <c r="O40" s="388"/>
      <c r="P40" s="384"/>
    </row>
    <row r="41" spans="1:16" ht="15.75" thickBot="1" x14ac:dyDescent="0.25">
      <c r="A41" s="285">
        <v>150</v>
      </c>
      <c r="B41" s="281"/>
      <c r="C41" s="282"/>
      <c r="D41" s="44"/>
      <c r="E41" s="44"/>
      <c r="F41" s="493"/>
      <c r="G41" s="44"/>
      <c r="H41" s="44"/>
      <c r="I41" s="44"/>
      <c r="J41" s="638">
        <f>285*(100%-'Установка скидки'!$F$11)</f>
        <v>285</v>
      </c>
      <c r="K41" s="496"/>
      <c r="L41" s="494">
        <f>271*(100%-'Установка скидки'!$F$11)</f>
        <v>271</v>
      </c>
      <c r="M41" s="494">
        <f>314*(100%-'Установка скидки'!$F$11)</f>
        <v>314</v>
      </c>
      <c r="N41" s="494">
        <f>817*(100%-'Установка скидки'!$F$11)</f>
        <v>817</v>
      </c>
      <c r="O41" s="497"/>
      <c r="P41" s="384"/>
    </row>
    <row r="42" spans="1:16" ht="15.75" thickBot="1" x14ac:dyDescent="0.25">
      <c r="A42" s="285">
        <v>160</v>
      </c>
      <c r="B42" s="281"/>
      <c r="C42" s="282"/>
      <c r="D42" s="44"/>
      <c r="E42" s="44"/>
      <c r="F42" s="44"/>
      <c r="G42" s="44"/>
      <c r="H42" s="44"/>
      <c r="I42" s="44"/>
      <c r="J42" s="625"/>
      <c r="K42" s="346"/>
      <c r="L42" s="397"/>
      <c r="M42" s="494">
        <f>341*(100%-'Установка скидки'!$F$11)</f>
        <v>341</v>
      </c>
      <c r="N42" s="380"/>
      <c r="O42" s="389"/>
      <c r="P42" s="384"/>
    </row>
    <row r="43" spans="1:16" ht="15.75" thickBot="1" x14ac:dyDescent="0.25">
      <c r="A43" s="285">
        <v>180</v>
      </c>
      <c r="B43" s="281"/>
      <c r="C43" s="282"/>
      <c r="D43" s="44"/>
      <c r="E43" s="44"/>
      <c r="F43" s="44"/>
      <c r="G43" s="44"/>
      <c r="H43" s="44"/>
      <c r="I43" s="44"/>
      <c r="J43" s="44"/>
      <c r="K43" s="44"/>
      <c r="L43" s="44"/>
      <c r="M43" s="397"/>
      <c r="N43" s="494">
        <f>346*(100%-'Установка скидки'!$F$11)</f>
        <v>346</v>
      </c>
      <c r="O43" s="497"/>
      <c r="P43" s="384"/>
    </row>
    <row r="44" spans="1:16" ht="15" x14ac:dyDescent="0.2">
      <c r="A44" s="285">
        <v>200</v>
      </c>
      <c r="B44" s="281"/>
      <c r="C44" s="282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90"/>
      <c r="O44" s="388"/>
      <c r="P44" s="384"/>
    </row>
    <row r="45" spans="1:16" ht="15" x14ac:dyDescent="0.2">
      <c r="A45" s="285">
        <v>250</v>
      </c>
      <c r="B45" s="281"/>
      <c r="C45" s="282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88"/>
      <c r="P45" s="384"/>
    </row>
    <row r="46" spans="1:16" ht="13.5" thickBot="1" x14ac:dyDescent="0.25">
      <c r="A46" s="390">
        <v>300</v>
      </c>
      <c r="B46" s="391"/>
      <c r="C46" s="392"/>
      <c r="D46" s="392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3"/>
      <c r="P46" s="372"/>
    </row>
    <row r="47" spans="1:16" ht="21" customHeight="1" x14ac:dyDescent="0.2">
      <c r="A47" s="374"/>
      <c r="B47" s="375"/>
      <c r="C47" s="376"/>
      <c r="D47" s="371"/>
      <c r="E47" s="372"/>
      <c r="F47" s="372"/>
      <c r="G47" s="372"/>
      <c r="H47" s="372"/>
      <c r="I47" s="372"/>
      <c r="J47" s="373"/>
      <c r="K47" s="372"/>
      <c r="L47" s="372"/>
      <c r="M47" s="372"/>
      <c r="N47" s="372"/>
      <c r="O47" s="372"/>
      <c r="P47" s="372"/>
    </row>
    <row r="48" spans="1:16" ht="21" customHeight="1" x14ac:dyDescent="0.2">
      <c r="A48" s="316" t="s">
        <v>218</v>
      </c>
      <c r="B48" s="302"/>
      <c r="C48" s="302"/>
      <c r="D48" s="302"/>
      <c r="E48" s="302"/>
      <c r="F48" s="302"/>
      <c r="G48" s="303"/>
      <c r="H48" s="303"/>
      <c r="I48" s="303"/>
      <c r="J48" s="304"/>
      <c r="K48" s="304"/>
      <c r="L48" s="304"/>
      <c r="M48" s="304"/>
      <c r="N48" s="304"/>
      <c r="O48" s="304"/>
      <c r="P48" s="43"/>
    </row>
    <row r="49" spans="1:26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26" ht="17.25" customHeight="1" x14ac:dyDescent="0.2">
      <c r="A50" s="342"/>
      <c r="B50" s="343"/>
      <c r="C50" s="344" t="s">
        <v>213</v>
      </c>
      <c r="D50" s="343"/>
      <c r="E50" s="343"/>
      <c r="F50" s="343"/>
      <c r="G50" s="343"/>
      <c r="H50" s="343"/>
      <c r="I50" s="343"/>
      <c r="J50" s="39"/>
      <c r="K50" s="39"/>
      <c r="L50" s="39"/>
      <c r="M50" s="39"/>
      <c r="N50" s="39"/>
      <c r="O50" s="39"/>
    </row>
    <row r="51" spans="1:26" s="258" customFormat="1" ht="14.25" customHeight="1" x14ac:dyDescent="0.2">
      <c r="A51" s="542"/>
      <c r="B51" s="298"/>
      <c r="C51" s="298" t="s">
        <v>26</v>
      </c>
      <c r="D51" s="298"/>
      <c r="E51" s="298"/>
      <c r="F51" s="298"/>
      <c r="G51" s="365"/>
      <c r="H51" s="365"/>
      <c r="I51" s="365"/>
      <c r="J51" s="366"/>
      <c r="K51" s="366"/>
      <c r="L51" s="366"/>
      <c r="M51" s="366"/>
      <c r="N51" s="299"/>
      <c r="O51" s="299"/>
      <c r="P51" s="43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s="258" customFormat="1" ht="14.25" customHeight="1" x14ac:dyDescent="0.2">
      <c r="A52" s="370"/>
      <c r="B52" s="298"/>
      <c r="C52" s="298"/>
      <c r="D52" s="298"/>
      <c r="E52" s="298"/>
      <c r="F52" s="298"/>
      <c r="G52" s="365"/>
      <c r="H52" s="365"/>
      <c r="I52" s="365"/>
      <c r="J52" s="366"/>
      <c r="K52" s="366"/>
      <c r="L52" s="366"/>
      <c r="M52" s="366"/>
      <c r="N52" s="299"/>
      <c r="O52" s="299"/>
      <c r="P52" s="43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x14ac:dyDescent="0.2">
      <c r="A53" s="369"/>
      <c r="B53" s="367"/>
      <c r="C53" s="368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</row>
    <row r="54" spans="1:26" x14ac:dyDescent="0.2">
      <c r="A54" s="734" t="s">
        <v>34</v>
      </c>
      <c r="B54" s="734"/>
      <c r="C54" s="734"/>
      <c r="D54" s="734"/>
      <c r="E54" s="734"/>
      <c r="F54" s="734"/>
      <c r="G54" s="734"/>
      <c r="H54" s="734"/>
      <c r="I54" s="734"/>
      <c r="J54" s="734"/>
      <c r="K54" s="734"/>
      <c r="L54" s="734"/>
      <c r="M54" s="734"/>
      <c r="N54" s="734"/>
      <c r="O54" s="734"/>
    </row>
    <row r="55" spans="1:26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26" ht="12.75" customHeight="1" x14ac:dyDescent="0.2">
      <c r="A56" s="736" t="s">
        <v>179</v>
      </c>
      <c r="B56" s="720"/>
      <c r="C56" s="720"/>
      <c r="D56" s="720"/>
      <c r="E56" s="720"/>
      <c r="F56" s="720"/>
      <c r="G56" s="720"/>
      <c r="H56" s="720"/>
      <c r="I56" s="720"/>
      <c r="J56" s="720"/>
      <c r="K56" s="720"/>
      <c r="L56" s="720"/>
      <c r="M56" s="720"/>
      <c r="N56" s="720"/>
      <c r="O56" s="720"/>
      <c r="P56" s="720"/>
    </row>
    <row r="57" spans="1:26" s="341" customFormat="1" ht="14.25" x14ac:dyDescent="0.2">
      <c r="A57" s="339" t="s">
        <v>20</v>
      </c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</row>
    <row r="58" spans="1:26" ht="13.5" customHeight="1" x14ac:dyDescent="0.2">
      <c r="A58" s="735" t="s">
        <v>21</v>
      </c>
      <c r="B58" s="735"/>
      <c r="C58" s="735"/>
      <c r="D58" s="735"/>
      <c r="E58" s="735"/>
      <c r="F58" s="735"/>
      <c r="G58" s="735"/>
      <c r="H58" s="735"/>
      <c r="I58" s="735"/>
      <c r="J58" s="735"/>
      <c r="K58" s="735"/>
      <c r="L58" s="735"/>
      <c r="M58" s="735"/>
      <c r="N58" s="735"/>
      <c r="O58" s="735"/>
    </row>
    <row r="59" spans="1:26" ht="30" customHeight="1" x14ac:dyDescent="0.2">
      <c r="A59" s="731" t="s">
        <v>178</v>
      </c>
      <c r="B59" s="731"/>
      <c r="C59" s="731"/>
      <c r="D59" s="731"/>
      <c r="E59" s="731"/>
      <c r="F59" s="731"/>
      <c r="G59" s="731"/>
      <c r="H59" s="731"/>
      <c r="I59" s="731"/>
      <c r="J59" s="731"/>
      <c r="K59" s="731"/>
      <c r="L59" s="731"/>
      <c r="M59" s="731"/>
      <c r="N59" s="731"/>
      <c r="O59" s="731"/>
    </row>
    <row r="60" spans="1:26" x14ac:dyDescent="0.2">
      <c r="A60" s="695" t="s">
        <v>174</v>
      </c>
      <c r="B60" s="696"/>
      <c r="C60" s="696"/>
      <c r="D60" s="696"/>
      <c r="E60" s="696"/>
      <c r="F60" s="696"/>
      <c r="G60" s="696"/>
      <c r="H60" s="696"/>
      <c r="I60" s="696"/>
      <c r="J60" s="696"/>
      <c r="K60" s="696"/>
      <c r="L60" s="696"/>
      <c r="M60" s="696"/>
      <c r="N60" s="696"/>
      <c r="O60" s="696"/>
      <c r="P60" s="696"/>
    </row>
  </sheetData>
  <protectedRanges>
    <protectedRange sqref="A1:A6" name="Диапазон1_2"/>
    <protectedRange sqref="A48:C48 A51:C52" name="Диапазон1_2_2_1"/>
    <protectedRange sqref="N51:P52 N48:P48 E48:K48 E51:K52" name="Диапазон1_2_6_1_1"/>
  </protectedRanges>
  <mergeCells count="12">
    <mergeCell ref="A60:P60"/>
    <mergeCell ref="A59:O59"/>
    <mergeCell ref="D4:K6"/>
    <mergeCell ref="A54:O54"/>
    <mergeCell ref="A58:O58"/>
    <mergeCell ref="A56:P56"/>
    <mergeCell ref="A28:O28"/>
    <mergeCell ref="A29:O29"/>
    <mergeCell ref="B30:O30"/>
    <mergeCell ref="A7:P7"/>
    <mergeCell ref="A8:P8"/>
    <mergeCell ref="B9:P9"/>
  </mergeCells>
  <pageMargins left="0.23622047244094491" right="3.937007874015748E-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82"/>
  <sheetViews>
    <sheetView showGridLines="0" zoomScaleNormal="100" workbookViewId="0">
      <pane xSplit="1" ySplit="10" topLeftCell="B53" activePane="bottomRight" state="frozen"/>
      <selection pane="topRight" activeCell="B1" sqref="B1"/>
      <selection pane="bottomLeft" activeCell="A11" sqref="A11"/>
      <selection pane="bottomRight" activeCell="B73" sqref="B73"/>
    </sheetView>
  </sheetViews>
  <sheetFormatPr defaultRowHeight="12.75" x14ac:dyDescent="0.2"/>
  <cols>
    <col min="1" max="1" width="49.7109375" style="149" customWidth="1"/>
    <col min="2" max="4" width="10.7109375" style="221" customWidth="1"/>
    <col min="5" max="8" width="10.7109375" style="207" customWidth="1"/>
    <col min="9" max="15" width="9.140625" style="224"/>
  </cols>
  <sheetData>
    <row r="1" spans="1:15" ht="15" x14ac:dyDescent="0.2">
      <c r="A1" s="184"/>
      <c r="B1" s="708"/>
      <c r="C1" s="753"/>
      <c r="D1" s="753"/>
      <c r="E1" s="753"/>
      <c r="F1" s="753"/>
      <c r="G1" s="753"/>
      <c r="H1" s="209"/>
    </row>
    <row r="2" spans="1:15" ht="15" customHeight="1" x14ac:dyDescent="0.2">
      <c r="A2" s="184"/>
      <c r="B2" s="753"/>
      <c r="C2" s="753"/>
      <c r="D2" s="753"/>
      <c r="E2" s="753"/>
      <c r="F2" s="753"/>
      <c r="G2" s="753"/>
      <c r="H2" s="210"/>
    </row>
    <row r="3" spans="1:15" ht="15" customHeight="1" x14ac:dyDescent="0.2">
      <c r="A3" s="184"/>
      <c r="B3" s="753"/>
      <c r="C3" s="753"/>
      <c r="D3" s="753"/>
      <c r="E3" s="753"/>
      <c r="F3" s="753"/>
      <c r="G3" s="753"/>
      <c r="H3" s="210"/>
    </row>
    <row r="4" spans="1:15" ht="12.75" customHeight="1" x14ac:dyDescent="0.2">
      <c r="A4" s="185"/>
      <c r="B4" s="753"/>
      <c r="C4" s="753"/>
      <c r="D4" s="753"/>
      <c r="E4" s="753"/>
      <c r="F4" s="753"/>
      <c r="G4" s="753"/>
      <c r="K4" s="225"/>
    </row>
    <row r="5" spans="1:15" ht="15" customHeight="1" x14ac:dyDescent="0.2">
      <c r="A5" s="184"/>
      <c r="B5" s="753"/>
      <c r="C5" s="753"/>
      <c r="D5" s="753"/>
      <c r="E5" s="753"/>
      <c r="F5" s="753"/>
      <c r="G5" s="753"/>
      <c r="K5" s="225"/>
    </row>
    <row r="6" spans="1:15" ht="31.5" customHeight="1" x14ac:dyDescent="0.2">
      <c r="A6" s="184"/>
      <c r="B6" s="712"/>
      <c r="C6" s="754"/>
      <c r="D6" s="754"/>
      <c r="E6" s="754"/>
      <c r="F6" s="754"/>
      <c r="G6" s="754"/>
      <c r="H6" s="12"/>
      <c r="K6" s="225"/>
    </row>
    <row r="7" spans="1:15" ht="29.25" customHeight="1" x14ac:dyDescent="0.2">
      <c r="A7" s="184"/>
      <c r="B7" s="12"/>
      <c r="C7" s="12"/>
      <c r="D7" s="12"/>
      <c r="E7" s="12"/>
      <c r="F7" s="12"/>
      <c r="G7" s="12"/>
      <c r="H7" s="12"/>
      <c r="K7" s="226"/>
    </row>
    <row r="8" spans="1:15" ht="29.25" customHeight="1" x14ac:dyDescent="0.2">
      <c r="A8" s="184"/>
      <c r="B8" s="12"/>
      <c r="C8" s="12"/>
      <c r="D8" s="12"/>
      <c r="E8" s="12"/>
      <c r="F8" s="12"/>
      <c r="G8" s="12"/>
      <c r="H8" s="12"/>
      <c r="K8" s="226"/>
    </row>
    <row r="9" spans="1:15" ht="15" customHeight="1" x14ac:dyDescent="0.2">
      <c r="A9" s="714" t="s">
        <v>130</v>
      </c>
      <c r="B9" s="756" t="s">
        <v>14</v>
      </c>
      <c r="C9" s="757"/>
      <c r="D9" s="757"/>
      <c r="E9" s="757"/>
      <c r="F9" s="757"/>
      <c r="G9" s="757"/>
      <c r="H9" s="757"/>
      <c r="K9" s="226"/>
    </row>
    <row r="10" spans="1:15" ht="15" customHeight="1" x14ac:dyDescent="0.2">
      <c r="A10" s="755"/>
      <c r="B10" s="208">
        <v>80</v>
      </c>
      <c r="C10" s="208">
        <v>120</v>
      </c>
      <c r="D10" s="208">
        <v>130</v>
      </c>
      <c r="E10" s="208">
        <v>150</v>
      </c>
      <c r="F10" s="208">
        <v>180</v>
      </c>
      <c r="G10" s="208">
        <v>200</v>
      </c>
      <c r="H10" s="208">
        <v>250</v>
      </c>
      <c r="K10" s="225"/>
    </row>
    <row r="11" spans="1:15" s="7" customFormat="1" ht="20.100000000000001" customHeight="1" x14ac:dyDescent="0.2">
      <c r="A11" s="145" t="s">
        <v>113</v>
      </c>
      <c r="B11" s="211"/>
      <c r="C11" s="212"/>
      <c r="D11" s="213"/>
      <c r="E11" s="213"/>
      <c r="F11" s="213"/>
      <c r="G11" s="213"/>
      <c r="H11" s="213"/>
      <c r="I11" s="227"/>
      <c r="J11" s="227"/>
      <c r="K11" s="227"/>
      <c r="L11" s="227"/>
      <c r="M11" s="227"/>
      <c r="N11" s="227"/>
      <c r="O11" s="227"/>
    </row>
    <row r="12" spans="1:15" s="7" customFormat="1" ht="15" x14ac:dyDescent="0.2">
      <c r="A12" s="164" t="s">
        <v>135</v>
      </c>
      <c r="B12" s="432" t="s">
        <v>0</v>
      </c>
      <c r="C12" s="36">
        <f>349*(100%-'Установка скидки'!$F$11)</f>
        <v>349</v>
      </c>
      <c r="D12" s="36">
        <f>395*(100%-'Установка скидки'!$F$11)</f>
        <v>395</v>
      </c>
      <c r="E12" s="36">
        <f>457*(100%-'Установка скидки'!$F$11)</f>
        <v>457</v>
      </c>
      <c r="F12" s="36">
        <f>530*(100%-'Установка скидки'!$F$11)</f>
        <v>530</v>
      </c>
      <c r="G12" s="36">
        <f>583*(100%-'Установка скидки'!$F$11)</f>
        <v>583</v>
      </c>
      <c r="H12" s="36">
        <f>717*(100%-'Установка скидки'!$F$11)</f>
        <v>717</v>
      </c>
      <c r="I12" s="227"/>
      <c r="J12" s="227"/>
      <c r="K12" s="227"/>
      <c r="L12" s="227"/>
      <c r="M12" s="227"/>
      <c r="N12" s="227"/>
      <c r="O12" s="227"/>
    </row>
    <row r="13" spans="1:15" ht="20.100000000000001" customHeight="1" x14ac:dyDescent="0.2">
      <c r="A13" s="145" t="s">
        <v>65</v>
      </c>
      <c r="B13" s="433"/>
      <c r="C13" s="431"/>
      <c r="D13" s="434"/>
      <c r="E13" s="434"/>
      <c r="F13" s="434"/>
      <c r="G13" s="434"/>
      <c r="H13" s="434"/>
    </row>
    <row r="14" spans="1:15" s="7" customFormat="1" ht="15" x14ac:dyDescent="0.2">
      <c r="A14" s="164" t="s">
        <v>136</v>
      </c>
      <c r="B14" s="108">
        <f>1325*(100%-'Установка скидки'!$F$11)</f>
        <v>1325</v>
      </c>
      <c r="C14" s="435">
        <f>1470*(100%-'Установка скидки'!$F$11)</f>
        <v>1470</v>
      </c>
      <c r="D14" s="36">
        <f>1525*(100%-'Установка скидки'!$F$11)</f>
        <v>1525</v>
      </c>
      <c r="E14" s="36">
        <f>1640*(100%-'Установка скидки'!$F$11)</f>
        <v>1640</v>
      </c>
      <c r="F14" s="36">
        <f>1907*(100%-'Установка скидки'!$F$11)</f>
        <v>1907</v>
      </c>
      <c r="G14" s="36">
        <f>2672*(100%-'Установка скидки'!$F$11)</f>
        <v>2672</v>
      </c>
      <c r="H14" s="36">
        <f>3198*(100%-'Установка скидки'!$F$11)</f>
        <v>3198</v>
      </c>
      <c r="I14" s="227"/>
      <c r="J14" s="227"/>
      <c r="K14" s="227"/>
      <c r="L14" s="227"/>
      <c r="M14" s="227"/>
      <c r="N14" s="227"/>
      <c r="O14" s="227"/>
    </row>
    <row r="15" spans="1:15" s="7" customFormat="1" ht="20.100000000000001" customHeight="1" x14ac:dyDescent="0.2">
      <c r="A15" s="146" t="s">
        <v>66</v>
      </c>
      <c r="B15" s="405"/>
      <c r="C15" s="436"/>
      <c r="D15" s="432"/>
      <c r="E15" s="432"/>
      <c r="F15" s="432"/>
      <c r="G15" s="432"/>
      <c r="H15" s="432"/>
      <c r="I15" s="227"/>
      <c r="J15" s="227"/>
      <c r="K15" s="227"/>
      <c r="L15" s="227"/>
      <c r="M15" s="227"/>
      <c r="N15" s="227"/>
      <c r="O15" s="227"/>
    </row>
    <row r="16" spans="1:15" ht="14.25" customHeight="1" x14ac:dyDescent="0.2">
      <c r="A16" s="164" t="s">
        <v>136</v>
      </c>
      <c r="B16" s="108">
        <f>443*(100%-'Установка скидки'!$F$11)</f>
        <v>443</v>
      </c>
      <c r="C16" s="36">
        <f>566*(100%-'Установка скидки'!$F$11)</f>
        <v>566</v>
      </c>
      <c r="D16" s="36">
        <f>599*(100%-'Установка скидки'!$F$11)</f>
        <v>599</v>
      </c>
      <c r="E16" s="36">
        <f>706*(100%-'Установка скидки'!$F$11)</f>
        <v>706</v>
      </c>
      <c r="F16" s="36">
        <f>883*(100%-'Установка скидки'!$F$11)</f>
        <v>883</v>
      </c>
      <c r="G16" s="36">
        <f>1053*(100%-'Установка скидки'!$F$11)</f>
        <v>1053</v>
      </c>
      <c r="H16" s="36">
        <f>1414*(100%-'Установка скидки'!$F$11)</f>
        <v>1414</v>
      </c>
    </row>
    <row r="17" spans="1:23" s="7" customFormat="1" ht="20.100000000000001" customHeight="1" x14ac:dyDescent="0.2">
      <c r="A17" s="146" t="s">
        <v>68</v>
      </c>
      <c r="B17" s="405"/>
      <c r="C17" s="437"/>
      <c r="D17" s="438"/>
      <c r="E17" s="438"/>
      <c r="F17" s="438"/>
      <c r="G17" s="438"/>
      <c r="H17" s="438"/>
      <c r="I17" s="227"/>
      <c r="J17" s="227"/>
      <c r="K17" s="227"/>
      <c r="L17" s="227"/>
      <c r="M17" s="227"/>
      <c r="N17" s="227"/>
      <c r="O17" s="227"/>
    </row>
    <row r="18" spans="1:23" s="7" customFormat="1" ht="15" x14ac:dyDescent="0.2">
      <c r="A18" s="164" t="s">
        <v>151</v>
      </c>
      <c r="B18" s="405">
        <f>415*(100%-'Установка скидки'!$F$11)</f>
        <v>415</v>
      </c>
      <c r="C18" s="439">
        <f>531*(100%-'Установка скидки'!$F$11)</f>
        <v>531</v>
      </c>
      <c r="D18" s="440">
        <f>573*(100%-'Установка скидки'!$F$11)</f>
        <v>573</v>
      </c>
      <c r="E18" s="440">
        <f>657*(100%-'Установка скидки'!$F$11)</f>
        <v>657</v>
      </c>
      <c r="F18" s="440">
        <f>780*(100%-'Установка скидки'!$F$11)</f>
        <v>780</v>
      </c>
      <c r="G18" s="440">
        <f>860*(100%-'Установка скидки'!$F$11)</f>
        <v>860</v>
      </c>
      <c r="H18" s="440">
        <f>1055*(100%-'Установка скидки'!$F$11)</f>
        <v>1055</v>
      </c>
      <c r="I18" s="227"/>
      <c r="J18" s="227"/>
      <c r="K18" s="227"/>
      <c r="L18" s="227"/>
      <c r="M18" s="227"/>
      <c r="N18" s="227"/>
      <c r="O18" s="227"/>
    </row>
    <row r="19" spans="1:23" ht="20.100000000000001" customHeight="1" x14ac:dyDescent="0.2">
      <c r="A19" s="146" t="s">
        <v>69</v>
      </c>
      <c r="B19" s="405"/>
      <c r="C19" s="437"/>
      <c r="D19" s="438"/>
      <c r="E19" s="438"/>
      <c r="F19" s="438"/>
      <c r="G19" s="438"/>
      <c r="H19" s="438"/>
    </row>
    <row r="20" spans="1:23" s="7" customFormat="1" ht="15" x14ac:dyDescent="0.2">
      <c r="A20" s="164" t="s">
        <v>151</v>
      </c>
      <c r="B20" s="405">
        <f>498*(100%-'Установка скидки'!$F$11)</f>
        <v>498</v>
      </c>
      <c r="C20" s="439">
        <f>617*(100%-'Установка скидки'!$F$11)</f>
        <v>617</v>
      </c>
      <c r="D20" s="440">
        <f>666*(100%-'Установка скидки'!$F$11)</f>
        <v>666</v>
      </c>
      <c r="E20" s="440">
        <f>765*(100%-'Установка скидки'!$F$11)</f>
        <v>765</v>
      </c>
      <c r="F20" s="440">
        <f>911*(100%-'Установка скидки'!$F$11)</f>
        <v>911</v>
      </c>
      <c r="G20" s="440">
        <f>1007*(100%-'Установка скидки'!$F$11)</f>
        <v>1007</v>
      </c>
      <c r="H20" s="440">
        <f>1378.26*(100%-'Установка скидки'!$F$11)</f>
        <v>1378.26</v>
      </c>
      <c r="I20" s="227"/>
      <c r="J20" s="227"/>
      <c r="K20" s="227"/>
      <c r="L20" s="227"/>
      <c r="M20" s="227"/>
      <c r="N20" s="227"/>
      <c r="O20" s="227"/>
    </row>
    <row r="21" spans="1:23" s="7" customFormat="1" ht="20.100000000000001" customHeight="1" x14ac:dyDescent="0.2">
      <c r="A21" s="147" t="s">
        <v>67</v>
      </c>
      <c r="B21" s="405"/>
      <c r="C21" s="437"/>
      <c r="D21" s="438"/>
      <c r="E21" s="438"/>
      <c r="F21" s="438"/>
      <c r="G21" s="438"/>
      <c r="H21" s="438"/>
      <c r="I21" s="227"/>
      <c r="J21" s="227"/>
      <c r="K21" s="227"/>
      <c r="L21" s="227"/>
      <c r="M21" s="227"/>
      <c r="N21" s="227"/>
      <c r="O21" s="227"/>
    </row>
    <row r="22" spans="1:23" ht="15" x14ac:dyDescent="0.2">
      <c r="A22" s="214" t="s">
        <v>137</v>
      </c>
      <c r="B22" s="404">
        <f>907*(100%-'Установка скидки'!$F$11)</f>
        <v>907</v>
      </c>
      <c r="C22" s="404">
        <f>1289*(100%-'Установка скидки'!$F$11)</f>
        <v>1289</v>
      </c>
      <c r="D22" s="404">
        <f>1397*(100%-'Установка скидки'!$F$11)</f>
        <v>1397</v>
      </c>
      <c r="E22" s="404">
        <f>1614*(100%-'Установка скидки'!$F$11)</f>
        <v>1614</v>
      </c>
      <c r="F22" s="404">
        <f>1939*(100%-'Установка скидки'!$F$11)</f>
        <v>1939</v>
      </c>
      <c r="G22" s="404">
        <f>2156*(100%-'Установка скидки'!$F$11)</f>
        <v>2156</v>
      </c>
      <c r="H22" s="404">
        <f>2701*(100%-'Установка скидки'!$F$11)</f>
        <v>2701</v>
      </c>
    </row>
    <row r="23" spans="1:23" s="7" customFormat="1" ht="20.100000000000001" customHeight="1" x14ac:dyDescent="0.2">
      <c r="A23" s="146" t="s">
        <v>71</v>
      </c>
      <c r="B23" s="405"/>
      <c r="C23" s="437"/>
      <c r="D23" s="438"/>
      <c r="E23" s="438"/>
      <c r="F23" s="438"/>
      <c r="G23" s="438"/>
      <c r="H23" s="438"/>
      <c r="I23" s="227"/>
      <c r="J23" s="227"/>
      <c r="K23" s="227"/>
      <c r="L23" s="227"/>
      <c r="M23" s="227"/>
      <c r="N23" s="227"/>
      <c r="O23" s="227"/>
    </row>
    <row r="24" spans="1:23" s="7" customFormat="1" ht="15" x14ac:dyDescent="0.2">
      <c r="A24" s="214" t="s">
        <v>151</v>
      </c>
      <c r="B24" s="404">
        <f>1245*(100%-'Установка скидки'!$F$11)</f>
        <v>1245</v>
      </c>
      <c r="C24" s="441">
        <f>1688*(100%-'Установка скидки'!$F$11)</f>
        <v>1688</v>
      </c>
      <c r="D24" s="36">
        <f>1826*(100%-'Установка скидки'!$F$11)</f>
        <v>1826</v>
      </c>
      <c r="E24" s="36">
        <f>2098*(100%-'Установка скидки'!$F$11)</f>
        <v>2098</v>
      </c>
      <c r="F24" s="36">
        <f>2503*(100%-'Установка скидки'!$F$11)</f>
        <v>2503</v>
      </c>
      <c r="G24" s="36">
        <f>2771*(100%-'Установка скидки'!$F$11)</f>
        <v>2771</v>
      </c>
      <c r="H24" s="36">
        <f>3428*(100%-'Установка скидки'!$F$11)</f>
        <v>3428</v>
      </c>
      <c r="I24" s="227"/>
      <c r="J24" s="227"/>
      <c r="K24" s="227"/>
      <c r="L24" s="227"/>
      <c r="M24" s="227"/>
      <c r="N24" s="227"/>
      <c r="O24" s="227"/>
    </row>
    <row r="25" spans="1:23" ht="20.100000000000001" customHeight="1" x14ac:dyDescent="0.2">
      <c r="A25" s="146" t="s">
        <v>70</v>
      </c>
      <c r="B25" s="405"/>
      <c r="C25" s="437"/>
      <c r="D25" s="438"/>
      <c r="E25" s="438"/>
      <c r="F25" s="438"/>
      <c r="G25" s="438"/>
      <c r="H25" s="438"/>
    </row>
    <row r="26" spans="1:23" s="7" customFormat="1" ht="15" x14ac:dyDescent="0.2">
      <c r="A26" s="214" t="s">
        <v>151</v>
      </c>
      <c r="B26" s="442">
        <f>602*(100%-'Установка скидки'!$F$11)</f>
        <v>602</v>
      </c>
      <c r="C26" s="443">
        <f>854*(100%-'Установка скидки'!$F$11)</f>
        <v>854</v>
      </c>
      <c r="D26" s="205">
        <f>936*(100%-'Установка скидки'!$F$11)</f>
        <v>936</v>
      </c>
      <c r="E26" s="205">
        <f>1104*(100%-'Установка скидки'!$F$11)</f>
        <v>1104</v>
      </c>
      <c r="F26" s="205">
        <f>1368*(100%-'Установка скидки'!$F$11)</f>
        <v>1368</v>
      </c>
      <c r="G26" s="205">
        <f>1552*(100%-'Установка скидки'!$F$11)</f>
        <v>1552</v>
      </c>
      <c r="H26" s="205">
        <f>2034*(100%-'Установка скидки'!$F$11)</f>
        <v>2034</v>
      </c>
      <c r="I26" s="227"/>
      <c r="J26" s="227"/>
      <c r="K26" s="227"/>
      <c r="L26" s="227"/>
      <c r="M26" s="227"/>
      <c r="N26" s="227"/>
      <c r="O26" s="227"/>
    </row>
    <row r="27" spans="1:23" s="7" customFormat="1" ht="20.100000000000001" customHeight="1" x14ac:dyDescent="0.2">
      <c r="A27" s="146" t="s">
        <v>72</v>
      </c>
      <c r="B27" s="405"/>
      <c r="C27" s="437"/>
      <c r="D27" s="438"/>
      <c r="E27" s="438"/>
      <c r="F27" s="438"/>
      <c r="G27" s="438"/>
      <c r="H27" s="438"/>
      <c r="I27" s="227"/>
      <c r="J27" s="227"/>
      <c r="K27" s="227"/>
      <c r="L27" s="227"/>
      <c r="M27" s="227"/>
      <c r="N27" s="227"/>
      <c r="O27" s="227"/>
    </row>
    <row r="28" spans="1:23" ht="15" x14ac:dyDescent="0.2">
      <c r="A28" s="165" t="s">
        <v>151</v>
      </c>
      <c r="B28" s="108">
        <f>686*(100%-'Установка скидки'!$F$11)</f>
        <v>686</v>
      </c>
      <c r="C28" s="441">
        <f>930*(100%-'Установка скидки'!$F$11)</f>
        <v>930</v>
      </c>
      <c r="D28" s="36">
        <f>1005*(100%-'Установка скидки'!$F$11)</f>
        <v>1005</v>
      </c>
      <c r="E28" s="36">
        <f>1155*(100%-'Установка скидки'!$F$11)</f>
        <v>1155</v>
      </c>
      <c r="F28" s="36">
        <f>1377*(100%-'Установка скидки'!$F$11)</f>
        <v>1377</v>
      </c>
      <c r="G28" s="36">
        <f>1523*(100%-'Установка скидки'!$F$11)</f>
        <v>1523</v>
      </c>
      <c r="H28" s="36">
        <f>1883*(100%-'Установка скидки'!$F$11)</f>
        <v>1883</v>
      </c>
    </row>
    <row r="29" spans="1:23" s="7" customFormat="1" ht="20.100000000000001" customHeight="1" x14ac:dyDescent="0.2">
      <c r="A29" s="146" t="s">
        <v>74</v>
      </c>
      <c r="B29" s="405"/>
      <c r="C29" s="438"/>
      <c r="D29" s="438"/>
      <c r="E29" s="438"/>
      <c r="F29" s="438"/>
      <c r="G29" s="438"/>
      <c r="H29" s="438"/>
      <c r="I29" s="227"/>
      <c r="J29" s="227"/>
      <c r="K29" s="227"/>
      <c r="L29" s="227"/>
      <c r="M29" s="227"/>
      <c r="N29" s="227"/>
      <c r="O29" s="227"/>
    </row>
    <row r="30" spans="1:23" s="18" customFormat="1" ht="15" x14ac:dyDescent="0.2">
      <c r="A30" s="165" t="s">
        <v>151</v>
      </c>
      <c r="B30" s="108">
        <f>418*(100%-'Установка скидки'!$F$11)</f>
        <v>418</v>
      </c>
      <c r="C30" s="441">
        <f>566*(100%-'Установка скидки'!$F$11)</f>
        <v>566</v>
      </c>
      <c r="D30" s="36">
        <f>610*(100%-'Установка скидки'!$F$11)</f>
        <v>610</v>
      </c>
      <c r="E30" s="36">
        <f>696*(100%-'Установка скидки'!$F$11)</f>
        <v>696</v>
      </c>
      <c r="F30" s="36">
        <f>821*(100%-'Установка скидки'!$F$11)</f>
        <v>821</v>
      </c>
      <c r="G30" s="36">
        <f>902*(100%-'Установка скидки'!$F$11)</f>
        <v>902</v>
      </c>
      <c r="H30" s="108">
        <f>1096*(100%-'Установка скидки'!$F$11)</f>
        <v>1096</v>
      </c>
      <c r="I30" s="228"/>
      <c r="J30" s="228"/>
      <c r="K30" s="228"/>
      <c r="L30" s="228"/>
      <c r="M30" s="228"/>
      <c r="N30" s="228"/>
      <c r="O30" s="228"/>
    </row>
    <row r="31" spans="1:23" ht="20.100000000000001" customHeight="1" x14ac:dyDescent="0.2">
      <c r="A31" s="223" t="s">
        <v>73</v>
      </c>
      <c r="B31" s="405"/>
      <c r="C31" s="438"/>
      <c r="D31" s="438"/>
      <c r="E31" s="438"/>
      <c r="F31" s="438"/>
      <c r="G31" s="438"/>
      <c r="H31" s="444"/>
    </row>
    <row r="32" spans="1:23" ht="15" customHeight="1" x14ac:dyDescent="0.2">
      <c r="A32" s="222" t="s">
        <v>136</v>
      </c>
      <c r="B32" s="557">
        <f>283*(100%-'Установка скидки'!$F$11)</f>
        <v>283</v>
      </c>
      <c r="C32" s="559">
        <f>372*(100%-'Установка скидки'!$F$11)</f>
        <v>372</v>
      </c>
      <c r="D32" s="566" t="s">
        <v>0</v>
      </c>
      <c r="E32" s="431" t="s">
        <v>0</v>
      </c>
      <c r="F32" s="558">
        <f>504*(100%-'Установка скидки'!$F$11)</f>
        <v>504</v>
      </c>
      <c r="G32" s="431" t="s">
        <v>0</v>
      </c>
      <c r="H32" s="566" t="s">
        <v>0</v>
      </c>
      <c r="Q32" s="224"/>
      <c r="R32" s="224"/>
      <c r="S32" s="224"/>
      <c r="T32" s="224"/>
      <c r="U32" s="224"/>
      <c r="V32" s="224"/>
      <c r="W32" s="224"/>
    </row>
    <row r="33" spans="1:23" ht="20.100000000000001" customHeight="1" x14ac:dyDescent="0.2">
      <c r="A33" s="146" t="s">
        <v>75</v>
      </c>
      <c r="B33" s="405"/>
      <c r="C33" s="437"/>
      <c r="D33" s="438"/>
      <c r="E33" s="438"/>
      <c r="F33" s="438"/>
      <c r="G33" s="438"/>
      <c r="H33" s="438"/>
    </row>
    <row r="34" spans="1:23" s="7" customFormat="1" ht="15" x14ac:dyDescent="0.2">
      <c r="A34" s="215" t="s">
        <v>135</v>
      </c>
      <c r="B34" s="404" t="s">
        <v>0</v>
      </c>
      <c r="C34" s="36">
        <f>1124*(100%-'Установка скидки'!$F$11)</f>
        <v>1124</v>
      </c>
      <c r="D34" s="36">
        <f>1226*(100%-'Установка скидки'!$F$11)</f>
        <v>1226</v>
      </c>
      <c r="E34" s="36">
        <f>1434*(100%-'Установка скидки'!$F$11)</f>
        <v>1434</v>
      </c>
      <c r="F34" s="36">
        <f>1754*(100%-'Установка скидки'!$F$11)</f>
        <v>1754</v>
      </c>
      <c r="G34" s="36">
        <f>1974*(100%-'Установка скидки'!$F$11)</f>
        <v>1974</v>
      </c>
      <c r="H34" s="445">
        <f>2544*(100%-'Установка скидки'!$F$11)</f>
        <v>2544</v>
      </c>
      <c r="I34" s="227"/>
      <c r="J34" s="227"/>
      <c r="K34" s="227"/>
      <c r="L34" s="227"/>
      <c r="M34" s="227"/>
      <c r="N34" s="227"/>
      <c r="O34" s="227"/>
    </row>
    <row r="35" spans="1:23" s="7" customFormat="1" ht="15" x14ac:dyDescent="0.2">
      <c r="A35" s="164" t="s">
        <v>136</v>
      </c>
      <c r="B35" s="404">
        <f>726*(100%-'Установка скидки'!$F$11)</f>
        <v>726</v>
      </c>
      <c r="C35" s="432" t="s">
        <v>0</v>
      </c>
      <c r="D35" s="565" t="s">
        <v>0</v>
      </c>
      <c r="E35" s="432" t="s">
        <v>0</v>
      </c>
      <c r="F35" s="432" t="s">
        <v>0</v>
      </c>
      <c r="G35" s="432" t="s">
        <v>0</v>
      </c>
      <c r="H35" s="432" t="s">
        <v>0</v>
      </c>
      <c r="I35" s="227"/>
      <c r="J35" s="227"/>
      <c r="K35" s="227"/>
      <c r="L35" s="227"/>
      <c r="M35" s="227"/>
      <c r="N35" s="227"/>
      <c r="O35" s="227"/>
      <c r="Q35" s="224"/>
      <c r="R35" s="224"/>
      <c r="S35" s="224"/>
      <c r="T35" s="224"/>
      <c r="U35" s="224"/>
      <c r="V35" s="224"/>
      <c r="W35" s="224"/>
    </row>
    <row r="36" spans="1:23" s="7" customFormat="1" ht="20.100000000000001" customHeight="1" x14ac:dyDescent="0.2">
      <c r="A36" s="148" t="s">
        <v>38</v>
      </c>
      <c r="B36" s="446"/>
      <c r="C36" s="36"/>
      <c r="D36" s="205"/>
      <c r="E36" s="205"/>
      <c r="F36" s="205"/>
      <c r="G36" s="205"/>
      <c r="H36" s="36"/>
      <c r="I36" s="227"/>
      <c r="J36" s="227"/>
      <c r="K36" s="227"/>
      <c r="L36" s="227"/>
      <c r="M36" s="227"/>
      <c r="N36" s="227"/>
      <c r="O36" s="227"/>
    </row>
    <row r="37" spans="1:23" ht="15" x14ac:dyDescent="0.2">
      <c r="A37" s="216" t="s">
        <v>136</v>
      </c>
      <c r="B37" s="108">
        <f>335*(100%-'Установка скидки'!$F$11)</f>
        <v>335</v>
      </c>
      <c r="C37" s="36">
        <f>396*(100%-'Установка скидки'!$F$11)</f>
        <v>396</v>
      </c>
      <c r="D37" s="205">
        <f>412*(100%-'Установка скидки'!$F$11)</f>
        <v>412</v>
      </c>
      <c r="E37" s="205">
        <f>474*(100%-'Установка скидки'!$F$11)</f>
        <v>474</v>
      </c>
      <c r="F37" s="205">
        <f>544*(100%-'Установка скидки'!$F$11)</f>
        <v>544</v>
      </c>
      <c r="G37" s="205">
        <f>603*(100%-'Установка скидки'!$F$11)</f>
        <v>603</v>
      </c>
      <c r="H37" s="36">
        <f>779*(100%-'Установка скидки'!$F$11)</f>
        <v>779</v>
      </c>
    </row>
    <row r="38" spans="1:23" s="7" customFormat="1" ht="20.100000000000001" customHeight="1" x14ac:dyDescent="0.2">
      <c r="A38" s="148" t="s">
        <v>219</v>
      </c>
      <c r="B38" s="446"/>
      <c r="C38" s="36"/>
      <c r="D38" s="205"/>
      <c r="E38" s="205"/>
      <c r="F38" s="205"/>
      <c r="G38" s="205"/>
      <c r="H38" s="36"/>
      <c r="I38" s="227"/>
      <c r="J38" s="227"/>
      <c r="K38" s="227"/>
      <c r="L38" s="227"/>
      <c r="M38" s="227"/>
      <c r="N38" s="227"/>
      <c r="O38" s="227"/>
    </row>
    <row r="39" spans="1:23" ht="15" x14ac:dyDescent="0.2">
      <c r="A39" s="216" t="s">
        <v>137</v>
      </c>
      <c r="B39" s="404">
        <f>564*(100%-'Установка скидки'!$F$11)</f>
        <v>564</v>
      </c>
      <c r="C39" s="36">
        <f>640*(100%-'Установка скидки'!$F$11)</f>
        <v>640</v>
      </c>
      <c r="D39" s="36">
        <f>660*(100%-'Установка скидки'!$F$11)</f>
        <v>660</v>
      </c>
      <c r="E39" s="36">
        <f>721*(100%-'Установка скидки'!$F$11)</f>
        <v>721</v>
      </c>
      <c r="F39" s="36">
        <f>816*(100%-'Установка скидки'!$F$11)</f>
        <v>816</v>
      </c>
      <c r="G39" s="36">
        <f>904*(100%-'Установка скидки'!$F$11)</f>
        <v>904</v>
      </c>
      <c r="H39" s="36">
        <f>1091*(100%-'Установка скидки'!$F$11)</f>
        <v>1091</v>
      </c>
    </row>
    <row r="41" spans="1:23" x14ac:dyDescent="0.2">
      <c r="B41" s="217"/>
      <c r="C41" s="217"/>
      <c r="D41" s="217"/>
      <c r="E41" s="110"/>
      <c r="F41" s="110"/>
      <c r="G41" s="110"/>
    </row>
    <row r="42" spans="1:23" x14ac:dyDescent="0.2">
      <c r="B42" s="217"/>
      <c r="C42" s="217"/>
      <c r="D42" s="217"/>
      <c r="E42" s="110"/>
      <c r="F42" s="110"/>
      <c r="G42" s="110"/>
    </row>
    <row r="45" spans="1:23" ht="15" x14ac:dyDescent="0.2">
      <c r="A45" s="714" t="s">
        <v>138</v>
      </c>
      <c r="B45" s="756" t="s">
        <v>133</v>
      </c>
      <c r="C45" s="757"/>
      <c r="D45" s="757"/>
      <c r="E45" s="757"/>
      <c r="F45" s="757"/>
      <c r="G45" s="757"/>
      <c r="H45" s="757"/>
    </row>
    <row r="46" spans="1:23" ht="31.5" customHeight="1" x14ac:dyDescent="0.2">
      <c r="A46" s="755"/>
      <c r="B46" s="208" t="s">
        <v>1</v>
      </c>
      <c r="C46" s="208" t="s">
        <v>4</v>
      </c>
      <c r="D46" s="208" t="s">
        <v>5</v>
      </c>
      <c r="E46" s="208" t="s">
        <v>6</v>
      </c>
      <c r="F46" s="208" t="s">
        <v>7</v>
      </c>
      <c r="G46" s="208" t="s">
        <v>8</v>
      </c>
      <c r="H46" s="208" t="s">
        <v>13</v>
      </c>
    </row>
    <row r="47" spans="1:23" ht="20.100000000000001" customHeight="1" x14ac:dyDescent="0.2">
      <c r="A47" s="218" t="s">
        <v>152</v>
      </c>
      <c r="B47" s="107"/>
      <c r="C47" s="111"/>
      <c r="D47" s="111"/>
      <c r="E47" s="111"/>
      <c r="F47" s="111"/>
      <c r="G47" s="111"/>
      <c r="H47" s="111"/>
    </row>
    <row r="48" spans="1:23" ht="15" x14ac:dyDescent="0.2">
      <c r="A48" s="166" t="s">
        <v>202</v>
      </c>
      <c r="B48" s="404">
        <f>1077*(100%-'Установка скидки'!$F$11)</f>
        <v>1077</v>
      </c>
      <c r="C48" s="404">
        <f>1321*(100%-'Установка скидки'!$F$11)</f>
        <v>1321</v>
      </c>
      <c r="D48" s="404">
        <f>1409*(100%-'Установка скидки'!$F$11)</f>
        <v>1409</v>
      </c>
      <c r="E48" s="404">
        <f>1585*(100%-'Установка скидки'!$F$11)</f>
        <v>1585</v>
      </c>
      <c r="F48" s="404">
        <f>1848*(100%-'Установка скидки'!$F$11)</f>
        <v>1848</v>
      </c>
      <c r="G48" s="404">
        <f>2023*(100%-'Установка скидки'!$F$11)</f>
        <v>2023</v>
      </c>
      <c r="H48" s="404">
        <f>2461*(100%-'Установка скидки'!$F$11)</f>
        <v>2461</v>
      </c>
    </row>
    <row r="49" spans="1:23" ht="20.100000000000001" customHeight="1" x14ac:dyDescent="0.2">
      <c r="A49" s="218" t="s">
        <v>153</v>
      </c>
      <c r="B49" s="404"/>
      <c r="C49" s="404"/>
      <c r="D49" s="404"/>
      <c r="E49" s="404"/>
      <c r="F49" s="404"/>
      <c r="G49" s="404"/>
      <c r="H49" s="404"/>
    </row>
    <row r="50" spans="1:23" ht="15" x14ac:dyDescent="0.2">
      <c r="A50" s="166" t="s">
        <v>202</v>
      </c>
      <c r="B50" s="404">
        <f>1548*(100%-'Установка скидки'!$F$11)</f>
        <v>1548</v>
      </c>
      <c r="C50" s="404">
        <f>1997*(100%-'Установка скидки'!$F$11)</f>
        <v>1997</v>
      </c>
      <c r="D50" s="404">
        <f>2130*(100%-'Установка скидки'!$F$11)</f>
        <v>2130</v>
      </c>
      <c r="E50" s="557">
        <f>2395*(100%-'Установка скидки'!$F$11)</f>
        <v>2395</v>
      </c>
      <c r="F50" s="404">
        <f>2793*(100%-'Установка скидки'!$F$11)</f>
        <v>2793</v>
      </c>
      <c r="G50" s="404">
        <f>3057*(100%-'Установка скидки'!$F$11)</f>
        <v>3057</v>
      </c>
      <c r="H50" s="404">
        <f>3718*(100%-'Установка скидки'!$F$11)</f>
        <v>3718</v>
      </c>
    </row>
    <row r="51" spans="1:23" ht="20.100000000000001" customHeight="1" x14ac:dyDescent="0.2">
      <c r="A51" s="218" t="s">
        <v>154</v>
      </c>
      <c r="B51" s="404"/>
      <c r="C51" s="404"/>
      <c r="D51" s="404"/>
      <c r="E51" s="404"/>
      <c r="F51" s="404"/>
      <c r="G51" s="404"/>
      <c r="H51" s="404"/>
    </row>
    <row r="52" spans="1:23" ht="15" x14ac:dyDescent="0.2">
      <c r="A52" s="166" t="s">
        <v>202</v>
      </c>
      <c r="B52" s="404">
        <f>2068*(100%-'Установка скидки'!$F$11)</f>
        <v>2068</v>
      </c>
      <c r="C52" s="404">
        <f>2555*(100%-'Установка скидки'!$F$11)</f>
        <v>2555</v>
      </c>
      <c r="D52" s="404">
        <f>2733*(100%-'Установка скидки'!$F$11)</f>
        <v>2733</v>
      </c>
      <c r="E52" s="404">
        <f>3091*(100%-'Установка скидки'!$F$11)</f>
        <v>3091</v>
      </c>
      <c r="F52" s="404">
        <f>3635*(100%-'Установка скидки'!$F$11)</f>
        <v>3635</v>
      </c>
      <c r="G52" s="404">
        <f>4003*(100%-'Установка скидки'!$F$11)</f>
        <v>4003</v>
      </c>
      <c r="H52" s="404">
        <f>5191*(100%-'Установка скидки'!$F$11)</f>
        <v>5191</v>
      </c>
    </row>
    <row r="53" spans="1:23" ht="20.100000000000001" customHeight="1" x14ac:dyDescent="0.2">
      <c r="A53" s="218" t="s">
        <v>155</v>
      </c>
      <c r="B53" s="404"/>
      <c r="C53" s="404"/>
      <c r="D53" s="404"/>
      <c r="E53" s="404"/>
      <c r="F53" s="404"/>
      <c r="G53" s="404"/>
      <c r="H53" s="404"/>
    </row>
    <row r="54" spans="1:23" ht="15" x14ac:dyDescent="0.2">
      <c r="A54" s="166" t="s">
        <v>204</v>
      </c>
      <c r="B54" s="404">
        <f>755*(100%-'Установка скидки'!$F$11)</f>
        <v>755</v>
      </c>
      <c r="C54" s="404">
        <f>1028*(100%-'Установка скидки'!$F$11)</f>
        <v>1028</v>
      </c>
      <c r="D54" s="404">
        <f>1096*(100%-'Установка скидки'!$F$11)</f>
        <v>1096</v>
      </c>
      <c r="E54" s="404">
        <f>1233*(100%-'Установка скидки'!$F$11)</f>
        <v>1233</v>
      </c>
      <c r="F54" s="404">
        <f>1438*(100%-'Установка скидки'!$F$11)</f>
        <v>1438</v>
      </c>
      <c r="G54" s="404">
        <f>1574*(100%-'Установка скидки'!$F$11)</f>
        <v>1574</v>
      </c>
      <c r="H54" s="404">
        <f>2352*(100%-'Установка скидки'!$F$11)</f>
        <v>2352</v>
      </c>
    </row>
    <row r="55" spans="1:23" ht="20.100000000000001" customHeight="1" x14ac:dyDescent="0.2">
      <c r="A55" s="218" t="s">
        <v>156</v>
      </c>
      <c r="B55" s="404"/>
      <c r="C55" s="404"/>
      <c r="D55" s="404"/>
      <c r="E55" s="404"/>
      <c r="F55" s="404"/>
      <c r="G55" s="404"/>
      <c r="H55" s="404"/>
    </row>
    <row r="56" spans="1:23" ht="15" x14ac:dyDescent="0.2">
      <c r="A56" s="219" t="s">
        <v>206</v>
      </c>
      <c r="B56" s="404">
        <f>1666*(100%-'Установка скидки'!$F$11)</f>
        <v>1666</v>
      </c>
      <c r="C56" s="404">
        <f>2312*(100%-'Установка скидки'!$F$11)</f>
        <v>2312</v>
      </c>
      <c r="D56" s="404">
        <f>2477*(100%-'Установка скидки'!$F$11)</f>
        <v>2477</v>
      </c>
      <c r="E56" s="404">
        <f>2811*(100%-'Установка скидки'!$F$11)</f>
        <v>2811</v>
      </c>
      <c r="F56" s="404">
        <f>3322*(100%-'Установка скидки'!$F$11)</f>
        <v>3322</v>
      </c>
      <c r="G56" s="404">
        <f>3670*(100%-'Установка скидки'!$F$11)</f>
        <v>3670</v>
      </c>
      <c r="H56" s="404">
        <f>4564*(100%-'Установка скидки'!$F$11)</f>
        <v>4564</v>
      </c>
    </row>
    <row r="57" spans="1:23" ht="20.100000000000001" customHeight="1" x14ac:dyDescent="0.2">
      <c r="A57" s="218" t="s">
        <v>157</v>
      </c>
      <c r="B57" s="404"/>
      <c r="C57" s="404"/>
      <c r="D57" s="404"/>
      <c r="E57" s="404"/>
      <c r="F57" s="404"/>
      <c r="G57" s="404"/>
      <c r="H57" s="404"/>
    </row>
    <row r="58" spans="1:23" ht="15" x14ac:dyDescent="0.2">
      <c r="A58" s="166" t="s">
        <v>202</v>
      </c>
      <c r="B58" s="404">
        <f>3664*(100%-'Установка скидки'!$F$11)</f>
        <v>3664</v>
      </c>
      <c r="C58" s="404">
        <f>4405*(100%-'Установка скидки'!$F$11)</f>
        <v>4405</v>
      </c>
      <c r="D58" s="404">
        <f>4734*(100%-'Установка скидки'!$F$11)</f>
        <v>4734</v>
      </c>
      <c r="E58" s="404">
        <f>5405*(100%-'Установка скидки'!$F$11)</f>
        <v>5405</v>
      </c>
      <c r="F58" s="404">
        <f>6445*(100%-'Установка скидки'!$F$11)</f>
        <v>6445</v>
      </c>
      <c r="G58" s="404">
        <f>7159*(100%-'Установка скидки'!$F$11)</f>
        <v>7159</v>
      </c>
      <c r="H58" s="404">
        <f>9023*(100%-'Установка скидки'!$F$11)</f>
        <v>9023</v>
      </c>
    </row>
    <row r="59" spans="1:23" ht="20.100000000000001" customHeight="1" x14ac:dyDescent="0.2">
      <c r="A59" s="218" t="s">
        <v>158</v>
      </c>
      <c r="B59" s="404"/>
      <c r="C59" s="404"/>
      <c r="D59" s="404"/>
      <c r="E59" s="404"/>
      <c r="F59" s="404"/>
      <c r="G59" s="404"/>
      <c r="H59" s="404"/>
    </row>
    <row r="60" spans="1:23" ht="15" x14ac:dyDescent="0.2">
      <c r="A60" s="166" t="s">
        <v>202</v>
      </c>
      <c r="B60" s="404">
        <f>2586*(100%-'Установка скидки'!$F$11)</f>
        <v>2586</v>
      </c>
      <c r="C60" s="404">
        <f>3377*(100%-'Установка скидки'!$F$11)</f>
        <v>3377</v>
      </c>
      <c r="D60" s="404">
        <f>3633*(100%-'Установка скидки'!$F$11)</f>
        <v>3633</v>
      </c>
      <c r="E60" s="404">
        <f>4156*(100%-'Установка скидки'!$F$11)</f>
        <v>4156</v>
      </c>
      <c r="F60" s="404">
        <f>4969*(100%-'Установка скидки'!$F$11)</f>
        <v>4969</v>
      </c>
      <c r="G60" s="404">
        <f>5530*(100%-'Установка скидки'!$F$11)</f>
        <v>5530</v>
      </c>
      <c r="H60" s="404">
        <f>7000*(100%-'Установка скидки'!$F$11)</f>
        <v>7000</v>
      </c>
    </row>
    <row r="61" spans="1:23" ht="20.100000000000001" customHeight="1" x14ac:dyDescent="0.2">
      <c r="A61" s="218" t="s">
        <v>159</v>
      </c>
      <c r="B61" s="404"/>
      <c r="C61" s="404"/>
      <c r="D61" s="404"/>
      <c r="E61" s="404"/>
      <c r="F61" s="404"/>
      <c r="G61" s="404"/>
      <c r="H61" s="404"/>
    </row>
    <row r="62" spans="1:23" ht="15" x14ac:dyDescent="0.2">
      <c r="A62" s="166" t="s">
        <v>202</v>
      </c>
      <c r="B62" s="404">
        <f>2155*(100%-'Установка скидки'!$F$11)</f>
        <v>2155</v>
      </c>
      <c r="C62" s="404">
        <f>2937*(100%-'Установка скидки'!$F$11)</f>
        <v>2937</v>
      </c>
      <c r="D62" s="404">
        <f>3132*(100%-'Установка скидки'!$F$11)</f>
        <v>3132</v>
      </c>
      <c r="E62" s="404">
        <f>3522*(100%-'Установка скидки'!$F$11)</f>
        <v>3522</v>
      </c>
      <c r="F62" s="404">
        <f>4107*(100%-'Установка скидки'!$F$11)</f>
        <v>4107</v>
      </c>
      <c r="G62" s="404">
        <f>4496*(100%-'Установка скидки'!$F$11)</f>
        <v>4496</v>
      </c>
      <c r="H62" s="404">
        <f>5486*(100%-'Установка скидки'!$F$11)</f>
        <v>5486</v>
      </c>
      <c r="Q62" s="224"/>
      <c r="R62" s="224"/>
      <c r="S62" s="224"/>
      <c r="T62" s="224"/>
      <c r="U62" s="224"/>
      <c r="V62" s="224"/>
      <c r="W62" s="224"/>
    </row>
    <row r="63" spans="1:23" ht="15" x14ac:dyDescent="0.2">
      <c r="A63" s="650" t="s">
        <v>203</v>
      </c>
      <c r="B63" s="404" t="s">
        <v>0</v>
      </c>
      <c r="C63" s="564" t="s">
        <v>0</v>
      </c>
      <c r="D63" s="564" t="s">
        <v>0</v>
      </c>
      <c r="E63" s="404" t="s">
        <v>0</v>
      </c>
      <c r="F63" s="404" t="s">
        <v>0</v>
      </c>
      <c r="G63" s="404" t="s">
        <v>0</v>
      </c>
      <c r="H63" s="557">
        <f>2823*(100%-'Установка скидки'!$F$11)</f>
        <v>2823</v>
      </c>
      <c r="Q63" s="224"/>
      <c r="R63" s="224"/>
      <c r="S63" s="224"/>
      <c r="T63" s="224"/>
      <c r="U63" s="224"/>
      <c r="V63" s="224"/>
      <c r="W63" s="224"/>
    </row>
    <row r="64" spans="1:23" ht="15" x14ac:dyDescent="0.2">
      <c r="A64" s="218" t="s">
        <v>228</v>
      </c>
      <c r="B64" s="649"/>
      <c r="C64" s="649"/>
      <c r="D64" s="649"/>
      <c r="E64" s="649"/>
      <c r="F64" s="649"/>
      <c r="G64" s="649"/>
      <c r="H64" s="649"/>
      <c r="Q64" s="224"/>
      <c r="R64" s="224"/>
      <c r="S64" s="224"/>
      <c r="T64" s="224"/>
      <c r="U64" s="224"/>
      <c r="V64" s="224"/>
      <c r="W64" s="224"/>
    </row>
    <row r="65" spans="1:23" ht="14.25" x14ac:dyDescent="0.2">
      <c r="A65" s="166" t="s">
        <v>202</v>
      </c>
      <c r="B65" s="649"/>
      <c r="C65" s="649"/>
      <c r="D65" s="649"/>
      <c r="E65" s="649"/>
      <c r="F65" s="649"/>
      <c r="G65" s="649"/>
      <c r="H65" s="557">
        <f>2351*(100%-'Установка скидки'!$F$11)</f>
        <v>2351</v>
      </c>
      <c r="Q65" s="224"/>
      <c r="R65" s="224"/>
      <c r="S65" s="224"/>
      <c r="T65" s="224"/>
      <c r="U65" s="224"/>
      <c r="V65" s="224"/>
      <c r="W65" s="224"/>
    </row>
    <row r="66" spans="1:23" ht="14.25" x14ac:dyDescent="0.2">
      <c r="A66" s="650" t="s">
        <v>203</v>
      </c>
      <c r="B66" s="651"/>
      <c r="C66" s="649"/>
      <c r="D66" s="652"/>
      <c r="E66" s="557">
        <f>2823*(100%-'Установка скидки'!$F$11)</f>
        <v>2823</v>
      </c>
      <c r="F66" s="651"/>
      <c r="G66" s="651"/>
      <c r="H66" s="651"/>
      <c r="Q66" s="224"/>
      <c r="R66" s="224"/>
      <c r="S66" s="224"/>
      <c r="T66" s="224"/>
      <c r="U66" s="224"/>
      <c r="V66" s="224"/>
      <c r="W66" s="224"/>
    </row>
    <row r="67" spans="1:23" ht="20.100000000000001" customHeight="1" x14ac:dyDescent="0.2">
      <c r="A67" s="218" t="s">
        <v>160</v>
      </c>
      <c r="B67" s="404"/>
      <c r="C67" s="404"/>
      <c r="D67" s="404"/>
      <c r="E67" s="404"/>
      <c r="F67" s="404"/>
      <c r="G67" s="404"/>
      <c r="H67" s="404"/>
    </row>
    <row r="68" spans="1:23" ht="15" x14ac:dyDescent="0.2">
      <c r="A68" s="166" t="s">
        <v>202</v>
      </c>
      <c r="B68" s="404">
        <f>1367*(100%-'Установка скидки'!$F$11)</f>
        <v>1367</v>
      </c>
      <c r="C68" s="404">
        <f>1855*(100%-'Установка скидки'!$F$11)</f>
        <v>1855</v>
      </c>
      <c r="D68" s="404">
        <f>1979*(100%-'Установка скидки'!$F$11)</f>
        <v>1979</v>
      </c>
      <c r="E68" s="404">
        <f>2229*(100%-'Установка скидки'!$F$11)</f>
        <v>2229</v>
      </c>
      <c r="F68" s="404">
        <f>2604*(100%-'Установка скидки'!$F$11)</f>
        <v>2604</v>
      </c>
      <c r="G68" s="404">
        <f>2854*(100%-'Установка скидки'!$F$11)</f>
        <v>2854</v>
      </c>
      <c r="H68" s="404">
        <f>3482*(100%-'Установка скидки'!$F$11)</f>
        <v>3482</v>
      </c>
    </row>
    <row r="69" spans="1:23" ht="15" x14ac:dyDescent="0.2">
      <c r="A69" s="193" t="s">
        <v>203</v>
      </c>
      <c r="B69" s="404" t="s">
        <v>0</v>
      </c>
      <c r="C69" s="404" t="s">
        <v>0</v>
      </c>
      <c r="D69" s="404" t="s">
        <v>0</v>
      </c>
      <c r="E69" s="564" t="s">
        <v>0</v>
      </c>
      <c r="F69" s="564" t="s">
        <v>0</v>
      </c>
      <c r="G69" s="564" t="s">
        <v>0</v>
      </c>
      <c r="H69" s="557">
        <f>2088*(100%-'Установка скидки'!$F$11)</f>
        <v>2088</v>
      </c>
      <c r="Q69" s="224"/>
      <c r="R69" s="224"/>
      <c r="S69" s="224"/>
      <c r="T69" s="224"/>
      <c r="U69" s="224"/>
      <c r="V69" s="224"/>
      <c r="W69" s="224"/>
    </row>
    <row r="70" spans="1:23" ht="29.25" customHeight="1" x14ac:dyDescent="0.2">
      <c r="A70" s="144" t="s">
        <v>134</v>
      </c>
      <c r="B70" s="404"/>
      <c r="C70" s="404"/>
      <c r="D70" s="404"/>
      <c r="E70" s="404"/>
      <c r="F70" s="404"/>
      <c r="G70" s="404"/>
      <c r="H70" s="404"/>
    </row>
    <row r="71" spans="1:23" ht="15" x14ac:dyDescent="0.2">
      <c r="A71" s="166" t="s">
        <v>136</v>
      </c>
      <c r="B71" s="404">
        <f>424*(100%-'Установка скидки'!$F$11)</f>
        <v>424</v>
      </c>
      <c r="C71" s="404">
        <f>544*(100%-'Установка скидки'!$F$11)</f>
        <v>544</v>
      </c>
      <c r="D71" s="404">
        <f>556*(100%-'Установка скидки'!$F$11)</f>
        <v>556</v>
      </c>
      <c r="E71" s="404">
        <f>628*(100%-'Установка скидки'!$F$11)</f>
        <v>628</v>
      </c>
      <c r="F71" s="404">
        <f>770*(100%-'Установка скидки'!$F$11)</f>
        <v>770</v>
      </c>
      <c r="G71" s="404">
        <f>843*(100%-'Установка скидки'!$F$11)</f>
        <v>843</v>
      </c>
      <c r="H71" s="404">
        <f>1095*(100%-'Установка скидки'!$F$11)</f>
        <v>1095</v>
      </c>
    </row>
    <row r="72" spans="1:23" ht="20.100000000000001" customHeight="1" x14ac:dyDescent="0.2">
      <c r="A72" s="144" t="s">
        <v>220</v>
      </c>
      <c r="B72" s="404"/>
      <c r="C72" s="404"/>
      <c r="D72" s="404"/>
      <c r="E72" s="404"/>
      <c r="F72" s="404"/>
      <c r="G72" s="404"/>
      <c r="H72" s="404"/>
    </row>
    <row r="73" spans="1:23" ht="15" x14ac:dyDescent="0.2">
      <c r="A73" s="166" t="s">
        <v>137</v>
      </c>
      <c r="B73" s="404">
        <f>672*(100%-'Установка скидки'!$F$11)</f>
        <v>672</v>
      </c>
      <c r="C73" s="404">
        <f>816*(100%-'Установка скидки'!$F$11)</f>
        <v>816</v>
      </c>
      <c r="D73" s="404">
        <f>828*(100%-'Установка скидки'!$F$11)</f>
        <v>828</v>
      </c>
      <c r="E73" s="404">
        <f>904*(100%-'Установка скидки'!$F$11)</f>
        <v>904</v>
      </c>
      <c r="F73" s="404">
        <f>998*(100%-'Установка скидки'!$F$11)</f>
        <v>998</v>
      </c>
      <c r="G73" s="404">
        <f>1160*(100%-'Установка скидки'!$F$11)</f>
        <v>1160</v>
      </c>
      <c r="H73" s="404">
        <f>1360*(100%-'Установка скидки'!$F$11)</f>
        <v>1360</v>
      </c>
    </row>
    <row r="75" spans="1:23" ht="13.5" customHeight="1" x14ac:dyDescent="0.2">
      <c r="A75" s="186" t="s">
        <v>23</v>
      </c>
      <c r="B75" s="115"/>
      <c r="C75" s="115"/>
      <c r="D75" s="115"/>
      <c r="E75" s="115"/>
      <c r="F75" s="115"/>
      <c r="G75" s="115"/>
    </row>
    <row r="76" spans="1:23" ht="14.25" customHeight="1" x14ac:dyDescent="0.2">
      <c r="A76" s="555" t="s">
        <v>25</v>
      </c>
      <c r="B76" s="556"/>
      <c r="C76" s="556"/>
      <c r="D76" s="556"/>
      <c r="E76" s="556"/>
      <c r="F76" s="116"/>
      <c r="G76" s="117"/>
    </row>
    <row r="77" spans="1:23" x14ac:dyDescent="0.2">
      <c r="A77" s="182" t="s">
        <v>16</v>
      </c>
      <c r="B77" s="116"/>
      <c r="C77" s="116"/>
      <c r="D77" s="116"/>
      <c r="E77" s="116"/>
      <c r="F77" s="116"/>
      <c r="G77" s="117"/>
      <c r="H77" s="41"/>
    </row>
    <row r="78" spans="1:23" x14ac:dyDescent="0.2">
      <c r="A78" s="182" t="s">
        <v>18</v>
      </c>
      <c r="B78" s="116"/>
      <c r="C78" s="116"/>
      <c r="D78" s="116"/>
      <c r="E78" s="116"/>
      <c r="F78" s="116"/>
      <c r="G78" s="117"/>
      <c r="H78" s="41"/>
    </row>
    <row r="79" spans="1:23" x14ac:dyDescent="0.2">
      <c r="A79" s="182" t="s">
        <v>19</v>
      </c>
      <c r="B79" s="116"/>
      <c r="C79" s="116"/>
      <c r="D79" s="116"/>
      <c r="E79" s="116"/>
      <c r="F79" s="116"/>
      <c r="G79" s="117"/>
      <c r="H79" s="41"/>
    </row>
    <row r="80" spans="1:23" x14ac:dyDescent="0.2">
      <c r="A80" s="182" t="s">
        <v>22</v>
      </c>
      <c r="B80" s="116"/>
      <c r="C80" s="116"/>
      <c r="D80" s="116"/>
      <c r="E80" s="116"/>
      <c r="F80" s="116"/>
      <c r="G80" s="117"/>
      <c r="H80" s="220"/>
    </row>
    <row r="81" spans="1:16" ht="17.25" customHeight="1" x14ac:dyDescent="0.2">
      <c r="A81" s="751" t="s">
        <v>21</v>
      </c>
      <c r="B81" s="698"/>
      <c r="C81" s="698"/>
      <c r="D81" s="698"/>
      <c r="E81" s="698"/>
      <c r="F81" s="698"/>
      <c r="G81" s="698"/>
      <c r="H81" s="698"/>
      <c r="I81" s="229"/>
      <c r="J81" s="229"/>
      <c r="K81" s="229"/>
      <c r="L81" s="229"/>
      <c r="M81" s="229"/>
      <c r="N81" s="229"/>
      <c r="O81" s="229"/>
      <c r="P81" s="206"/>
    </row>
    <row r="82" spans="1:16" ht="47.25" customHeight="1" x14ac:dyDescent="0.2">
      <c r="A82" s="752" t="s">
        <v>143</v>
      </c>
      <c r="B82" s="696"/>
      <c r="C82" s="696"/>
      <c r="D82" s="696"/>
      <c r="E82" s="696"/>
      <c r="F82" s="696"/>
      <c r="G82" s="696"/>
      <c r="H82" s="696"/>
      <c r="I82" s="696"/>
      <c r="J82" s="229"/>
      <c r="K82" s="229"/>
      <c r="L82" s="229"/>
      <c r="M82" s="229"/>
      <c r="N82" s="229"/>
      <c r="O82" s="229"/>
      <c r="P82" s="206"/>
    </row>
  </sheetData>
  <protectedRanges>
    <protectedRange sqref="B1:G9 B45:G45" name="Диапазон1_1_2_1_1"/>
    <protectedRange sqref="A76:G80" name="Диапазон1_18_1_1_1"/>
    <protectedRange sqref="A19:A20" name="Диапазон1_2_2_1_7"/>
    <protectedRange sqref="A15" name="Диапазон1_6_1_1_2"/>
    <protectedRange sqref="A21" name="Диапазон1_2_2_1_1_2"/>
    <protectedRange sqref="A23" name="Диапазон1_2_2_1_2_2"/>
    <protectedRange sqref="A25" name="Диапазон1_2_2_1_3_2"/>
    <protectedRange sqref="A27:A31" name="Диапазон1_2_2_1_4_2"/>
    <protectedRange sqref="A33" name="Диапазон1_2_2_1_5_2"/>
    <protectedRange sqref="K4:K10" name="Диапазон1_2_1_1_1"/>
    <protectedRange sqref="A9:A10" name="Диапазон1_2_2_1_9"/>
    <protectedRange sqref="A12 A14 A16" name="Диапазон1_2_2_1_11"/>
    <protectedRange sqref="A45:A46" name="Диапазон1_2_2_1_12"/>
  </protectedRanges>
  <mergeCells count="8">
    <mergeCell ref="A81:H81"/>
    <mergeCell ref="A82:I82"/>
    <mergeCell ref="B1:G5"/>
    <mergeCell ref="B6:G6"/>
    <mergeCell ref="A9:A10"/>
    <mergeCell ref="B9:H9"/>
    <mergeCell ref="A45:A46"/>
    <mergeCell ref="B45:H45"/>
  </mergeCells>
  <pageMargins left="0.23622047244094491" right="0.19685039370078741" top="0.15748031496062992" bottom="0.15748031496062992" header="0.31496062992125984" footer="0.31496062992125984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96"/>
  <sheetViews>
    <sheetView showGridLines="0" zoomScaleNormal="100" workbookViewId="0">
      <pane xSplit="1" ySplit="10" topLeftCell="B80" activePane="bottomRight" state="frozen"/>
      <selection pane="topRight" activeCell="B1" sqref="B1"/>
      <selection pane="bottomLeft" activeCell="A11" sqref="A11"/>
      <selection pane="bottomRight" activeCell="D42" sqref="D42"/>
    </sheetView>
  </sheetViews>
  <sheetFormatPr defaultRowHeight="12.75" x14ac:dyDescent="0.2"/>
  <cols>
    <col min="1" max="1" width="49.7109375" style="149" customWidth="1"/>
    <col min="2" max="2" width="10.28515625" style="149" customWidth="1"/>
    <col min="3" max="5" width="10.7109375" style="92" customWidth="1"/>
    <col min="6" max="8" width="10.7109375" style="91" customWidth="1"/>
    <col min="9" max="9" width="10.85546875" customWidth="1"/>
  </cols>
  <sheetData>
    <row r="1" spans="1:24" ht="15" x14ac:dyDescent="0.25">
      <c r="A1" s="184"/>
      <c r="B1" s="184"/>
      <c r="C1" s="708"/>
      <c r="D1" s="753"/>
      <c r="E1" s="753"/>
      <c r="F1" s="753"/>
      <c r="G1" s="753"/>
      <c r="H1" s="753"/>
      <c r="I1" s="1"/>
    </row>
    <row r="2" spans="1:24" ht="15" customHeight="1" x14ac:dyDescent="0.35">
      <c r="A2" s="184"/>
      <c r="B2" s="184"/>
      <c r="C2" s="753"/>
      <c r="D2" s="753"/>
      <c r="E2" s="753"/>
      <c r="F2" s="753"/>
      <c r="G2" s="753"/>
      <c r="H2" s="753"/>
      <c r="I2" s="38"/>
    </row>
    <row r="3" spans="1:24" ht="15" customHeight="1" x14ac:dyDescent="0.35">
      <c r="A3" s="184"/>
      <c r="B3" s="184"/>
      <c r="C3" s="753"/>
      <c r="D3" s="753"/>
      <c r="E3" s="753"/>
      <c r="F3" s="753"/>
      <c r="G3" s="753"/>
      <c r="H3" s="753"/>
      <c r="I3" s="38"/>
    </row>
    <row r="4" spans="1:24" ht="12.75" customHeight="1" x14ac:dyDescent="0.2">
      <c r="A4" s="185"/>
      <c r="B4" s="185"/>
      <c r="C4" s="753"/>
      <c r="D4" s="753"/>
      <c r="E4" s="753"/>
      <c r="F4" s="753"/>
      <c r="G4" s="753"/>
      <c r="H4" s="753"/>
      <c r="I4" s="71"/>
    </row>
    <row r="5" spans="1:24" ht="15" customHeight="1" x14ac:dyDescent="0.2">
      <c r="A5" s="184"/>
      <c r="B5" s="184"/>
      <c r="C5" s="753"/>
      <c r="D5" s="753"/>
      <c r="E5" s="753"/>
      <c r="F5" s="753"/>
      <c r="G5" s="753"/>
      <c r="H5" s="753"/>
      <c r="I5" s="71"/>
    </row>
    <row r="6" spans="1:24" ht="21" customHeight="1" x14ac:dyDescent="0.2">
      <c r="A6" s="184"/>
      <c r="B6" s="184"/>
      <c r="C6" s="712"/>
      <c r="D6" s="754"/>
      <c r="E6" s="754"/>
      <c r="F6" s="754"/>
      <c r="G6" s="754"/>
      <c r="H6" s="754"/>
      <c r="I6" s="12"/>
    </row>
    <row r="7" spans="1:24" ht="39.75" customHeight="1" x14ac:dyDescent="0.2">
      <c r="A7" s="184"/>
      <c r="B7" s="184"/>
      <c r="C7" s="12"/>
      <c r="D7" s="12"/>
      <c r="E7" s="12"/>
      <c r="F7" s="12"/>
      <c r="G7" s="12"/>
      <c r="H7" s="12"/>
      <c r="I7" s="12"/>
    </row>
    <row r="8" spans="1:24" ht="33.75" customHeight="1" x14ac:dyDescent="0.2">
      <c r="A8" s="184"/>
      <c r="B8" s="184"/>
      <c r="C8" s="12"/>
      <c r="D8" s="12"/>
      <c r="E8" s="12"/>
      <c r="F8" s="12"/>
      <c r="G8" s="12"/>
      <c r="H8" s="12"/>
      <c r="I8" s="12"/>
    </row>
    <row r="9" spans="1:24" ht="15" customHeight="1" x14ac:dyDescent="0.2">
      <c r="A9" s="714" t="s">
        <v>130</v>
      </c>
      <c r="B9" s="756" t="s">
        <v>14</v>
      </c>
      <c r="C9" s="756"/>
      <c r="D9" s="756"/>
      <c r="E9" s="756"/>
      <c r="F9" s="756"/>
      <c r="G9" s="756"/>
      <c r="H9" s="756"/>
      <c r="I9" s="12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spans="1:24" ht="14.25" customHeight="1" x14ac:dyDescent="0.2">
      <c r="A10" s="755"/>
      <c r="B10" s="628">
        <v>80</v>
      </c>
      <c r="C10" s="143">
        <v>120</v>
      </c>
      <c r="D10" s="143">
        <v>130</v>
      </c>
      <c r="E10" s="143">
        <v>150</v>
      </c>
      <c r="F10" s="143">
        <v>180</v>
      </c>
      <c r="G10" s="143">
        <v>200</v>
      </c>
      <c r="H10" s="143">
        <v>250</v>
      </c>
      <c r="I10" s="70"/>
      <c r="J10" s="70"/>
      <c r="K10" s="161"/>
      <c r="L10" s="162"/>
      <c r="M10" s="162"/>
      <c r="N10" s="162"/>
      <c r="O10" s="162"/>
      <c r="P10" s="162"/>
      <c r="Q10" s="70"/>
      <c r="R10" s="70"/>
      <c r="S10" s="70"/>
      <c r="T10" s="70"/>
      <c r="U10" s="70"/>
      <c r="V10" s="70"/>
      <c r="W10" s="70"/>
      <c r="X10" s="70"/>
    </row>
    <row r="11" spans="1:24" s="7" customFormat="1" ht="20.100000000000001" customHeight="1" x14ac:dyDescent="0.2">
      <c r="A11" s="145" t="s">
        <v>113</v>
      </c>
      <c r="B11" s="653"/>
      <c r="C11" s="107"/>
      <c r="D11" s="10"/>
      <c r="E11" s="10"/>
      <c r="F11" s="10"/>
      <c r="G11" s="10"/>
      <c r="H11" s="10"/>
      <c r="I11" s="163"/>
      <c r="J11" s="163"/>
      <c r="K11" s="162"/>
      <c r="L11" s="162"/>
      <c r="M11" s="162"/>
      <c r="N11" s="162"/>
      <c r="O11" s="162"/>
      <c r="P11" s="162"/>
      <c r="Q11" s="163"/>
      <c r="R11" s="163"/>
      <c r="S11" s="163"/>
      <c r="T11" s="163"/>
      <c r="U11" s="163"/>
      <c r="V11" s="163"/>
      <c r="W11" s="163"/>
      <c r="X11" s="163"/>
    </row>
    <row r="12" spans="1:24" ht="15" customHeight="1" x14ac:dyDescent="0.2">
      <c r="A12" s="164" t="s">
        <v>135</v>
      </c>
      <c r="B12" s="654"/>
      <c r="C12" s="36">
        <f>349*(100%-'Установка скидки'!$F$11)</f>
        <v>349</v>
      </c>
      <c r="D12" s="36">
        <f>395*(100%-'Установка скидки'!$F$11)</f>
        <v>395</v>
      </c>
      <c r="E12" s="36">
        <f>457*(100%-'Установка скидки'!$F$11)</f>
        <v>457</v>
      </c>
      <c r="F12" s="36">
        <f>530*(100%-'Установка скидки'!$F$11)</f>
        <v>530</v>
      </c>
      <c r="G12" s="36">
        <f>583*(100%-'Установка скидки'!$F$11)</f>
        <v>583</v>
      </c>
      <c r="H12" s="36">
        <f>717*(100%-'Установка скидки'!$F$11)</f>
        <v>717</v>
      </c>
      <c r="I12" s="70"/>
      <c r="J12" s="70"/>
      <c r="K12" s="162"/>
      <c r="L12" s="162"/>
      <c r="M12" s="162"/>
      <c r="N12" s="162"/>
      <c r="O12" s="162"/>
      <c r="P12" s="162"/>
      <c r="Q12" s="70"/>
      <c r="R12" s="70"/>
      <c r="S12" s="70"/>
      <c r="T12" s="70"/>
      <c r="U12" s="70"/>
      <c r="V12" s="70"/>
      <c r="W12" s="70"/>
      <c r="X12" s="70"/>
    </row>
    <row r="13" spans="1:24" s="7" customFormat="1" ht="20.100000000000001" customHeight="1" x14ac:dyDescent="0.2">
      <c r="A13" s="145" t="s">
        <v>65</v>
      </c>
      <c r="B13" s="653"/>
      <c r="C13" s="10"/>
      <c r="D13" s="10"/>
      <c r="E13" s="10"/>
      <c r="F13" s="10"/>
      <c r="G13" s="10"/>
      <c r="H13" s="10"/>
      <c r="I13" s="163"/>
      <c r="J13" s="163"/>
      <c r="K13" s="162"/>
      <c r="L13" s="162"/>
      <c r="M13" s="162"/>
      <c r="N13" s="162"/>
      <c r="O13" s="162"/>
      <c r="P13" s="162"/>
      <c r="Q13" s="163"/>
      <c r="R13" s="163"/>
      <c r="S13" s="163"/>
      <c r="T13" s="163"/>
      <c r="U13" s="163"/>
      <c r="V13" s="163"/>
      <c r="W13" s="163"/>
      <c r="X13" s="163"/>
    </row>
    <row r="14" spans="1:24" ht="15" customHeight="1" x14ac:dyDescent="0.2">
      <c r="A14" s="187" t="s">
        <v>136</v>
      </c>
      <c r="B14" s="655"/>
      <c r="C14" s="106">
        <f>1470*(100%-'Установка скидки'!$F$11)</f>
        <v>1470</v>
      </c>
      <c r="D14" s="36">
        <f>1525*(100%-'Установка скидки'!$F$11)</f>
        <v>1525</v>
      </c>
      <c r="E14" s="36">
        <f>1640*(100%-'Установка скидки'!$F$11)</f>
        <v>1640</v>
      </c>
      <c r="F14" s="36">
        <f>1907*(100%-'Установка скидки'!$F$11)</f>
        <v>1907</v>
      </c>
      <c r="G14" s="36">
        <f>2672*(100%-'Установка скидки'!$F$11)</f>
        <v>2672</v>
      </c>
      <c r="H14" s="36">
        <f>3198*(100%-'Установка скидки'!$F$11)</f>
        <v>3198</v>
      </c>
      <c r="I14" s="70"/>
      <c r="J14" s="70"/>
      <c r="K14" s="72"/>
      <c r="L14" s="73"/>
      <c r="M14" s="73"/>
      <c r="N14" s="73"/>
      <c r="O14" s="73"/>
      <c r="P14" s="73"/>
      <c r="Q14" s="70"/>
      <c r="R14" s="70"/>
      <c r="S14" s="70"/>
      <c r="T14" s="70"/>
      <c r="U14" s="70"/>
      <c r="V14" s="70"/>
      <c r="W14" s="70"/>
      <c r="X14" s="70"/>
    </row>
    <row r="15" spans="1:24" s="7" customFormat="1" ht="20.100000000000001" customHeight="1" x14ac:dyDescent="0.2">
      <c r="A15" s="146" t="s">
        <v>66</v>
      </c>
      <c r="B15" s="656"/>
      <c r="C15" s="10"/>
      <c r="D15" s="10"/>
      <c r="E15" s="10"/>
      <c r="F15" s="10"/>
      <c r="G15" s="10"/>
      <c r="H15" s="10"/>
      <c r="I15" s="163"/>
      <c r="J15" s="163"/>
      <c r="K15" s="12"/>
      <c r="L15" s="12"/>
      <c r="M15" s="12"/>
      <c r="N15" s="12"/>
      <c r="O15" s="12"/>
      <c r="P15" s="12"/>
      <c r="Q15" s="163"/>
      <c r="R15" s="163"/>
      <c r="S15" s="163"/>
      <c r="T15" s="163"/>
      <c r="U15" s="163"/>
      <c r="V15" s="163"/>
      <c r="W15" s="163"/>
      <c r="X15" s="163"/>
    </row>
    <row r="16" spans="1:24" s="7" customFormat="1" ht="15" customHeight="1" x14ac:dyDescent="0.2">
      <c r="A16" s="187" t="s">
        <v>136</v>
      </c>
      <c r="B16" s="655"/>
      <c r="C16" s="36">
        <f>566*(100%-'Установка скидки'!$F$11)</f>
        <v>566</v>
      </c>
      <c r="D16" s="37">
        <f>599*(100%-'Установка скидки'!$F$11)</f>
        <v>599</v>
      </c>
      <c r="E16" s="37">
        <f>706*(100%-'Установка скидки'!$F$11)</f>
        <v>706</v>
      </c>
      <c r="F16" s="37">
        <f>883*(100%-'Установка скидки'!$F$11)</f>
        <v>883</v>
      </c>
      <c r="G16" s="37">
        <f>1053*(100%-'Установка скидки'!$F$11)</f>
        <v>1053</v>
      </c>
      <c r="H16" s="37">
        <f>1414*(100%-'Установка скидки'!$F$11)</f>
        <v>1414</v>
      </c>
    </row>
    <row r="17" spans="1:8" ht="20.100000000000001" customHeight="1" x14ac:dyDescent="0.2">
      <c r="A17" s="146" t="s">
        <v>68</v>
      </c>
      <c r="B17" s="656"/>
      <c r="C17" s="8"/>
      <c r="D17" s="8"/>
      <c r="E17" s="8"/>
      <c r="F17" s="8"/>
      <c r="G17" s="8"/>
      <c r="H17" s="8"/>
    </row>
    <row r="18" spans="1:8" s="7" customFormat="1" ht="15" customHeight="1" x14ac:dyDescent="0.2">
      <c r="A18" s="164" t="s">
        <v>135</v>
      </c>
      <c r="B18" s="654"/>
      <c r="C18" s="36">
        <f>734*(100%-'Установка скидки'!$F$11)</f>
        <v>734</v>
      </c>
      <c r="D18" s="36">
        <f>798*(100%-'Установка скидки'!$F$11)</f>
        <v>798</v>
      </c>
      <c r="E18" s="36">
        <f>929*(100%-'Установка скидки'!$F$11)</f>
        <v>929</v>
      </c>
      <c r="F18" s="36">
        <f>1128*(100%-'Установка скидки'!$F$11)</f>
        <v>1128</v>
      </c>
      <c r="G18" s="37">
        <f>1264*(100%-'Установка скидки'!$F$11)</f>
        <v>1264</v>
      </c>
      <c r="H18" s="37">
        <f>1612*(100%-'Установка скидки'!$F$11)</f>
        <v>1612</v>
      </c>
    </row>
    <row r="19" spans="1:8" s="7" customFormat="1" ht="20.100000000000001" customHeight="1" x14ac:dyDescent="0.2">
      <c r="A19" s="146" t="s">
        <v>69</v>
      </c>
      <c r="B19" s="656"/>
      <c r="C19" s="8"/>
      <c r="D19" s="8"/>
      <c r="E19" s="8"/>
      <c r="F19" s="8"/>
      <c r="G19" s="8"/>
      <c r="H19" s="8"/>
    </row>
    <row r="20" spans="1:8" ht="15" customHeight="1" x14ac:dyDescent="0.2">
      <c r="A20" s="164" t="s">
        <v>135</v>
      </c>
      <c r="B20" s="654"/>
      <c r="C20" s="37">
        <f>854*(100%-'Установка скидки'!$F$11)</f>
        <v>854</v>
      </c>
      <c r="D20" s="37">
        <f>935*(100%-'Установка скидки'!$F$11)</f>
        <v>935</v>
      </c>
      <c r="E20" s="37">
        <f>1102*(100%-'Установка скидки'!$F$11)</f>
        <v>1102</v>
      </c>
      <c r="F20" s="37">
        <f>1364*(100%-'Установка скидки'!$F$11)</f>
        <v>1364</v>
      </c>
      <c r="G20" s="37">
        <f>1546*(100%-'Установка скидки'!$F$11)</f>
        <v>1546</v>
      </c>
      <c r="H20" s="37">
        <f>2026*(100%-'Установка скидки'!$F$11)</f>
        <v>2026</v>
      </c>
    </row>
    <row r="21" spans="1:8" s="7" customFormat="1" ht="20.100000000000001" customHeight="1" x14ac:dyDescent="0.2">
      <c r="A21" s="147" t="s">
        <v>67</v>
      </c>
      <c r="B21" s="657"/>
      <c r="C21" s="8"/>
      <c r="D21" s="8"/>
      <c r="E21" s="8"/>
      <c r="F21" s="8"/>
      <c r="G21" s="8"/>
      <c r="H21" s="8"/>
    </row>
    <row r="22" spans="1:8" s="7" customFormat="1" ht="15" customHeight="1" x14ac:dyDescent="0.2">
      <c r="A22" s="164" t="s">
        <v>135</v>
      </c>
      <c r="B22" s="654"/>
      <c r="C22" s="37">
        <f>1105*(100%-'Установка скидки'!$F$11)</f>
        <v>1105</v>
      </c>
      <c r="D22" s="37">
        <f>1190*(100%-'Установка скидки'!$F$11)</f>
        <v>1190</v>
      </c>
      <c r="E22" s="37">
        <f>1364*(100%-'Установка скидки'!$F$11)</f>
        <v>1364</v>
      </c>
      <c r="F22" s="37">
        <f>1640*(100%-'Установка скидки'!$F$11)</f>
        <v>1640</v>
      </c>
      <c r="G22" s="37">
        <f>1833*(100%-'Установка скидки'!$F$11)</f>
        <v>1833</v>
      </c>
      <c r="H22" s="37">
        <f>2344*(100%-'Установка скидки'!$F$11)</f>
        <v>2344</v>
      </c>
    </row>
    <row r="23" spans="1:8" ht="20.100000000000001" customHeight="1" x14ac:dyDescent="0.2">
      <c r="A23" s="146" t="s">
        <v>71</v>
      </c>
      <c r="B23" s="656"/>
      <c r="C23" s="8"/>
      <c r="D23" s="8"/>
      <c r="E23" s="8"/>
      <c r="F23" s="8"/>
      <c r="G23" s="8"/>
      <c r="H23" s="8"/>
    </row>
    <row r="24" spans="1:8" s="7" customFormat="1" ht="15" customHeight="1" x14ac:dyDescent="0.2">
      <c r="A24" s="164" t="s">
        <v>135</v>
      </c>
      <c r="B24" s="654"/>
      <c r="C24" s="37">
        <f>2348*(100%-'Установка скидки'!$F$11)</f>
        <v>2348</v>
      </c>
      <c r="D24" s="37">
        <f>2550*(100%-'Установка скидки'!$F$11)</f>
        <v>2550</v>
      </c>
      <c r="E24" s="37">
        <f>2957*(100%-'Установка скидки'!$F$11)</f>
        <v>2957</v>
      </c>
      <c r="F24" s="37">
        <f>3575*(100%-'Установка скидки'!$F$11)</f>
        <v>3575</v>
      </c>
      <c r="G24" s="37">
        <f>3992*(100%-'Установка скидки'!$F$11)</f>
        <v>3992</v>
      </c>
      <c r="H24" s="37">
        <f>5050*(100%-'Установка скидки'!$F$11)</f>
        <v>5050</v>
      </c>
    </row>
    <row r="25" spans="1:8" s="7" customFormat="1" ht="20.100000000000001" customHeight="1" x14ac:dyDescent="0.2">
      <c r="A25" s="146" t="s">
        <v>70</v>
      </c>
      <c r="B25" s="656"/>
      <c r="C25" s="8"/>
      <c r="D25" s="8"/>
      <c r="E25" s="8"/>
      <c r="F25" s="8"/>
      <c r="G25" s="8"/>
      <c r="H25" s="8"/>
    </row>
    <row r="26" spans="1:8" ht="15" customHeight="1" x14ac:dyDescent="0.2">
      <c r="A26" s="164" t="s">
        <v>135</v>
      </c>
      <c r="B26" s="654"/>
      <c r="C26" s="37">
        <f>1189*(100%-'Установка скидки'!$F$11)</f>
        <v>1189</v>
      </c>
      <c r="D26" s="37">
        <f>1317*(100%-'Установка скидки'!$F$11)</f>
        <v>1317</v>
      </c>
      <c r="E26" s="37">
        <f>1585*(100%-'Установка скидки'!$F$11)</f>
        <v>1585</v>
      </c>
      <c r="F26" s="37">
        <f>2020*(100%-'Установка скидки'!$F$11)</f>
        <v>2020</v>
      </c>
      <c r="G26" s="37">
        <f>2331*(100%-'Установка скидки'!$F$11)</f>
        <v>2331</v>
      </c>
      <c r="H26" s="37">
        <f>3180*(100%-'Установка скидки'!$F$11)</f>
        <v>3180</v>
      </c>
    </row>
    <row r="27" spans="1:8" s="7" customFormat="1" ht="20.100000000000001" customHeight="1" x14ac:dyDescent="0.2">
      <c r="A27" s="67" t="s">
        <v>86</v>
      </c>
      <c r="B27" s="67"/>
      <c r="C27" s="37"/>
      <c r="D27" s="37"/>
      <c r="E27" s="37"/>
      <c r="F27" s="37"/>
      <c r="G27" s="37"/>
      <c r="H27" s="37"/>
    </row>
    <row r="28" spans="1:8" s="7" customFormat="1" ht="15" customHeight="1" x14ac:dyDescent="0.2">
      <c r="A28" s="164" t="s">
        <v>135</v>
      </c>
      <c r="B28" s="654"/>
      <c r="C28" s="37">
        <f>1302*(100%-'Установка скидки'!$F$11)</f>
        <v>1302</v>
      </c>
      <c r="D28" s="37">
        <f>1392*(100%-'Установка скидки'!$F$11)</f>
        <v>1392</v>
      </c>
      <c r="E28" s="37">
        <f>1565*(100%-'Установка скидки'!$F$11)</f>
        <v>1565</v>
      </c>
      <c r="F28" s="37">
        <f>1805*(100%-'Установка скидки'!$F$11)</f>
        <v>1805</v>
      </c>
      <c r="G28" s="37">
        <f>1951*(100%-'Установка скидки'!$F$11)</f>
        <v>1951</v>
      </c>
      <c r="H28" s="37">
        <f>2271*(100%-'Установка скидки'!$F$11)</f>
        <v>2271</v>
      </c>
    </row>
    <row r="29" spans="1:8" ht="20.100000000000001" customHeight="1" x14ac:dyDescent="0.2">
      <c r="A29" s="146" t="s">
        <v>72</v>
      </c>
      <c r="B29" s="656"/>
      <c r="C29" s="8"/>
      <c r="D29" s="8"/>
      <c r="E29" s="8"/>
      <c r="F29" s="8"/>
      <c r="G29" s="8"/>
      <c r="H29" s="8"/>
    </row>
    <row r="30" spans="1:8" ht="15" customHeight="1" x14ac:dyDescent="0.2">
      <c r="A30" s="164" t="s">
        <v>135</v>
      </c>
      <c r="B30" s="654"/>
      <c r="C30" s="37">
        <f>1525*(100%-'Установка скидки'!$F$11)</f>
        <v>1525</v>
      </c>
      <c r="D30" s="37">
        <f>1650*(100%-'Установка скидки'!$F$11)</f>
        <v>1650</v>
      </c>
      <c r="E30" s="37">
        <f>1898*(100%-'Установка скидки'!$F$11)</f>
        <v>1898</v>
      </c>
      <c r="F30" s="37">
        <f>2267*(100%-'Установка скидки'!$F$11)</f>
        <v>2267</v>
      </c>
      <c r="G30" s="37">
        <f>2512*(100%-'Установка скидки'!$F$11)</f>
        <v>2512</v>
      </c>
      <c r="H30" s="37">
        <f>3117*(100%-'Установка скидки'!$F$11)</f>
        <v>3117</v>
      </c>
    </row>
    <row r="31" spans="1:8" ht="20.100000000000001" customHeight="1" x14ac:dyDescent="0.2">
      <c r="A31" s="146" t="s">
        <v>73</v>
      </c>
      <c r="B31" s="656"/>
      <c r="C31" s="8"/>
      <c r="D31" s="8"/>
      <c r="E31" s="8"/>
      <c r="F31" s="8"/>
      <c r="G31" s="8"/>
      <c r="H31" s="8"/>
    </row>
    <row r="32" spans="1:8" s="7" customFormat="1" ht="15" customHeight="1" x14ac:dyDescent="0.2">
      <c r="A32" s="164" t="s">
        <v>135</v>
      </c>
      <c r="B32" s="654"/>
      <c r="C32" s="37">
        <f>533*(100%-'Установка скидки'!$F$11)</f>
        <v>533</v>
      </c>
      <c r="D32" s="37">
        <f>567*(100%-'Установка скидки'!$F$11)</f>
        <v>567</v>
      </c>
      <c r="E32" s="37">
        <f>640*(100%-'Установка скидки'!$F$11)</f>
        <v>640</v>
      </c>
      <c r="F32" s="37">
        <f>747*(100%-'Установка скидки'!$F$11)</f>
        <v>747</v>
      </c>
      <c r="G32" s="37">
        <f>817*(100%-'Установка скидки'!$F$11)</f>
        <v>817</v>
      </c>
      <c r="H32" s="37">
        <f>990*(100%-'Установка скидки'!$F$11)</f>
        <v>990</v>
      </c>
    </row>
    <row r="33" spans="1:8" s="7" customFormat="1" ht="15" customHeight="1" x14ac:dyDescent="0.2">
      <c r="A33" s="222" t="s">
        <v>136</v>
      </c>
      <c r="B33" s="560">
        <f>283*(100%-'Установка скидки'!$F$11)</f>
        <v>283</v>
      </c>
      <c r="C33" s="560">
        <f>372*(100%-'Установка скидки'!$F$11)</f>
        <v>372</v>
      </c>
      <c r="D33" s="89" t="s">
        <v>0</v>
      </c>
      <c r="E33" s="10" t="s">
        <v>0</v>
      </c>
      <c r="F33" s="560">
        <f>504*(100%-'Установка скидки'!$F$11)</f>
        <v>504</v>
      </c>
      <c r="G33" s="10" t="s">
        <v>0</v>
      </c>
      <c r="H33" s="89" t="s">
        <v>0</v>
      </c>
    </row>
    <row r="34" spans="1:8" s="18" customFormat="1" ht="20.100000000000001" customHeight="1" x14ac:dyDescent="0.2">
      <c r="A34" s="146" t="s">
        <v>74</v>
      </c>
      <c r="B34" s="656"/>
      <c r="C34" s="8"/>
      <c r="D34" s="8"/>
      <c r="E34" s="8"/>
      <c r="F34" s="8"/>
      <c r="G34" s="8"/>
      <c r="H34" s="8"/>
    </row>
    <row r="35" spans="1:8" ht="15" customHeight="1" x14ac:dyDescent="0.2">
      <c r="A35" s="164" t="s">
        <v>135</v>
      </c>
      <c r="B35" s="654"/>
      <c r="C35" s="36">
        <f>894*(100%-'Установка скидки'!$F$11)</f>
        <v>894</v>
      </c>
      <c r="D35" s="108">
        <f>964*(100%-'Установка скидки'!$F$11)</f>
        <v>964</v>
      </c>
      <c r="E35" s="108">
        <f>1102*(100%-'Установка скидки'!$F$11)</f>
        <v>1102</v>
      </c>
      <c r="F35" s="108">
        <f>1304*(100%-'Установка скидки'!$F$11)</f>
        <v>1304</v>
      </c>
      <c r="G35" s="108">
        <f>1435*(100%-'Установка скидки'!$F$11)</f>
        <v>1435</v>
      </c>
      <c r="H35" s="108">
        <f>1752*(100%-'Установка скидки'!$F$11)</f>
        <v>1752</v>
      </c>
    </row>
    <row r="36" spans="1:8" ht="15" customHeight="1" x14ac:dyDescent="0.2">
      <c r="A36" s="222" t="s">
        <v>136</v>
      </c>
      <c r="B36" s="560">
        <f>432*(100%-'Установка скидки'!$F$11)</f>
        <v>432</v>
      </c>
      <c r="C36" s="567" t="s">
        <v>0</v>
      </c>
      <c r="D36" s="560">
        <f>641*(100%-'Установка скидки'!$F$11)</f>
        <v>641</v>
      </c>
      <c r="E36" s="560">
        <f>726*(100%-'Установка скидки'!$F$11)</f>
        <v>726</v>
      </c>
      <c r="F36" s="560">
        <f>848*(100%-'Установка скидки'!$F$11)</f>
        <v>848</v>
      </c>
      <c r="G36" s="560">
        <f>925*(100%-'Установка скидки'!$F$11)</f>
        <v>925</v>
      </c>
      <c r="H36" s="10" t="s">
        <v>0</v>
      </c>
    </row>
    <row r="37" spans="1:8" s="7" customFormat="1" ht="20.100000000000001" customHeight="1" x14ac:dyDescent="0.2">
      <c r="A37" s="146" t="s">
        <v>75</v>
      </c>
      <c r="B37" s="656"/>
      <c r="C37" s="8"/>
      <c r="D37" s="8"/>
      <c r="E37" s="8"/>
      <c r="F37" s="8"/>
      <c r="G37" s="8"/>
      <c r="H37" s="8"/>
    </row>
    <row r="38" spans="1:8" s="7" customFormat="1" ht="15" customHeight="1" x14ac:dyDescent="0.2">
      <c r="A38" s="164" t="s">
        <v>135</v>
      </c>
      <c r="B38" s="654"/>
      <c r="C38" s="37">
        <f>1124*(100%-'Установка скидки'!$F$11)</f>
        <v>1124</v>
      </c>
      <c r="D38" s="89">
        <f>1226*(100%-'Установка скидки'!$F$11)</f>
        <v>1226</v>
      </c>
      <c r="E38" s="89">
        <f>1434*(100%-'Установка скидки'!$F$11)</f>
        <v>1434</v>
      </c>
      <c r="F38" s="89">
        <f>1754*(100%-'Установка скидки'!$F$11)</f>
        <v>1754</v>
      </c>
      <c r="G38" s="89">
        <f>1974*(100%-'Установка скидки'!$F$11)</f>
        <v>1974</v>
      </c>
      <c r="H38" s="37">
        <f>2544*(100%-'Установка скидки'!$F$11)</f>
        <v>2544</v>
      </c>
    </row>
    <row r="39" spans="1:8" ht="20.100000000000001" customHeight="1" x14ac:dyDescent="0.2">
      <c r="A39" s="188" t="s">
        <v>95</v>
      </c>
      <c r="B39" s="188"/>
      <c r="C39" s="37"/>
      <c r="D39" s="89"/>
      <c r="E39" s="89"/>
      <c r="F39" s="89"/>
      <c r="G39" s="89"/>
      <c r="H39" s="37"/>
    </row>
    <row r="40" spans="1:8" s="7" customFormat="1" ht="15" customHeight="1" x14ac:dyDescent="0.2">
      <c r="A40" s="187" t="s">
        <v>136</v>
      </c>
      <c r="B40" s="655"/>
      <c r="C40" s="37">
        <f>396*(100%-'Установка скидки'!$F$11)</f>
        <v>396</v>
      </c>
      <c r="D40" s="89">
        <f>412*(100%-'Установка скидки'!$F$11)</f>
        <v>412</v>
      </c>
      <c r="E40" s="89">
        <f>474*(100%-'Установка скидки'!$F$11)</f>
        <v>474</v>
      </c>
      <c r="F40" s="89">
        <f>544*(100%-'Установка скидки'!$F$11)</f>
        <v>544</v>
      </c>
      <c r="G40" s="89">
        <f>603*(100%-'Установка скидки'!$F$11)</f>
        <v>603</v>
      </c>
      <c r="H40" s="37">
        <f>779*(100%-'Установка скидки'!$F$11)</f>
        <v>779</v>
      </c>
    </row>
    <row r="41" spans="1:8" ht="20.100000000000001" customHeight="1" x14ac:dyDescent="0.2">
      <c r="A41" s="188" t="s">
        <v>221</v>
      </c>
      <c r="B41" s="188"/>
      <c r="C41" s="37"/>
      <c r="D41" s="89"/>
      <c r="E41" s="89"/>
      <c r="F41" s="89"/>
      <c r="G41" s="89"/>
      <c r="H41" s="37"/>
    </row>
    <row r="42" spans="1:8" ht="15" customHeight="1" x14ac:dyDescent="0.2">
      <c r="A42" s="187" t="s">
        <v>137</v>
      </c>
      <c r="B42" s="655"/>
      <c r="C42" s="37">
        <f>640*(100%-'Установка скидки'!$F$11)</f>
        <v>640</v>
      </c>
      <c r="D42" s="37">
        <f>660*(100%-'Установка скидки'!$F$11)</f>
        <v>660</v>
      </c>
      <c r="E42" s="37">
        <f>721*(100%-'Установка скидки'!$F$11)</f>
        <v>721</v>
      </c>
      <c r="F42" s="37">
        <f>816*(100%-'Установка скидки'!$F$11)</f>
        <v>816</v>
      </c>
      <c r="G42" s="37">
        <f>904*(100%-'Установка скидки'!$F$11)</f>
        <v>904</v>
      </c>
      <c r="H42" s="37">
        <f>1091*(100%-'Установка скидки'!$F$11)</f>
        <v>1091</v>
      </c>
    </row>
    <row r="44" spans="1:8" x14ac:dyDescent="0.2">
      <c r="C44" s="109"/>
      <c r="D44" s="109"/>
      <c r="E44" s="109"/>
      <c r="F44" s="110"/>
      <c r="G44" s="110"/>
      <c r="H44" s="110"/>
    </row>
    <row r="45" spans="1:8" ht="21.75" customHeight="1" x14ac:dyDescent="0.2"/>
    <row r="47" spans="1:8" ht="15" x14ac:dyDescent="0.2">
      <c r="A47" s="714" t="s">
        <v>138</v>
      </c>
      <c r="B47" s="626"/>
      <c r="C47" s="759" t="s">
        <v>133</v>
      </c>
      <c r="D47" s="759"/>
      <c r="E47" s="759"/>
      <c r="F47" s="759"/>
      <c r="G47" s="759"/>
      <c r="H47" s="759"/>
    </row>
    <row r="48" spans="1:8" ht="33" customHeight="1" x14ac:dyDescent="0.2">
      <c r="A48" s="758"/>
      <c r="B48" s="629"/>
      <c r="C48" s="143" t="s">
        <v>145</v>
      </c>
      <c r="D48" s="143" t="s">
        <v>146</v>
      </c>
      <c r="E48" s="143" t="s">
        <v>147</v>
      </c>
      <c r="F48" s="143" t="s">
        <v>148</v>
      </c>
      <c r="G48" s="143" t="s">
        <v>149</v>
      </c>
      <c r="H48" s="143" t="s">
        <v>150</v>
      </c>
    </row>
    <row r="49" spans="1:8" ht="20.100000000000001" customHeight="1" x14ac:dyDescent="0.2">
      <c r="A49" s="189" t="s">
        <v>96</v>
      </c>
      <c r="B49" s="658"/>
      <c r="C49" s="111"/>
      <c r="D49" s="111"/>
      <c r="E49" s="111"/>
      <c r="F49" s="111"/>
      <c r="G49" s="111"/>
      <c r="H49" s="111"/>
    </row>
    <row r="50" spans="1:8" ht="15" x14ac:dyDescent="0.2">
      <c r="A50" s="190" t="s">
        <v>203</v>
      </c>
      <c r="B50" s="659"/>
      <c r="C50" s="112">
        <f>1644*(100%-'Установка скидки'!$F$11)</f>
        <v>1644</v>
      </c>
      <c r="D50" s="112">
        <f>1753*(100%-'Установка скидки'!$F$11)</f>
        <v>1753</v>
      </c>
      <c r="E50" s="112">
        <f>1972*(100%-'Установка скидки'!$F$11)</f>
        <v>1972</v>
      </c>
      <c r="F50" s="112">
        <f>2310*(100%-'Установка скидки'!$F$11)</f>
        <v>2310</v>
      </c>
      <c r="G50" s="112">
        <f>2584*(100%-'Установка скидки'!$F$11)</f>
        <v>2584</v>
      </c>
      <c r="H50" s="112">
        <f>3218*(100%-'Установка скидки'!$F$11)</f>
        <v>3218</v>
      </c>
    </row>
    <row r="51" spans="1:8" ht="20.100000000000001" customHeight="1" x14ac:dyDescent="0.2">
      <c r="A51" s="189" t="s">
        <v>97</v>
      </c>
      <c r="B51" s="658"/>
      <c r="C51" s="113"/>
      <c r="D51" s="113"/>
      <c r="E51" s="113"/>
      <c r="F51" s="113"/>
      <c r="G51" s="113"/>
      <c r="H51" s="113"/>
    </row>
    <row r="52" spans="1:8" x14ac:dyDescent="0.2">
      <c r="A52" s="191" t="s">
        <v>203</v>
      </c>
      <c r="B52" s="660"/>
      <c r="C52" s="19" t="s">
        <v>0</v>
      </c>
      <c r="D52" s="563">
        <f>2718*(100%-'Установка скидки'!$F$11)</f>
        <v>2718</v>
      </c>
      <c r="E52" s="19" t="s">
        <v>0</v>
      </c>
      <c r="F52" s="19" t="s">
        <v>0</v>
      </c>
      <c r="G52" s="19" t="s">
        <v>0</v>
      </c>
      <c r="H52" s="19" t="s">
        <v>0</v>
      </c>
    </row>
    <row r="53" spans="1:8" ht="15" x14ac:dyDescent="0.2">
      <c r="A53" s="190" t="s">
        <v>205</v>
      </c>
      <c r="B53" s="659"/>
      <c r="C53" s="112">
        <f>2786*(100%-'Установка скидки'!$F$11)</f>
        <v>2786</v>
      </c>
      <c r="D53" s="112">
        <f>2948*(100%-'Установка скидки'!$F$11)</f>
        <v>2948</v>
      </c>
      <c r="E53" s="112">
        <f>3271*(100%-'Установка скидки'!$F$11)</f>
        <v>3271</v>
      </c>
      <c r="F53" s="112">
        <f>3754*(100%-'Установка скидки'!$F$11)</f>
        <v>3754</v>
      </c>
      <c r="G53" s="112">
        <f>4074*(100%-'Установка скидки'!$F$11)</f>
        <v>4074</v>
      </c>
      <c r="H53" s="112">
        <f>5148*(100%-'Установка скидки'!$F$11)</f>
        <v>5148</v>
      </c>
    </row>
    <row r="54" spans="1:8" ht="20.100000000000001" customHeight="1" x14ac:dyDescent="0.2">
      <c r="A54" s="189" t="s">
        <v>98</v>
      </c>
      <c r="B54" s="661"/>
      <c r="C54" s="21"/>
      <c r="D54" s="21"/>
      <c r="E54" s="21"/>
      <c r="F54" s="21"/>
      <c r="G54" s="21"/>
      <c r="H54" s="21"/>
    </row>
    <row r="55" spans="1:8" x14ac:dyDescent="0.2">
      <c r="A55" s="191" t="s">
        <v>207</v>
      </c>
      <c r="B55" s="662"/>
      <c r="C55" s="563">
        <f>3343*(100%-'Установка скидки'!$F$11)</f>
        <v>3343</v>
      </c>
      <c r="D55" s="563">
        <f>3489*(100%-'Установка скидки'!$F$11)</f>
        <v>3489</v>
      </c>
      <c r="E55" s="563">
        <f>3758*(100%-'Установка скидки'!$F$11)</f>
        <v>3758</v>
      </c>
      <c r="F55" s="20" t="s">
        <v>0</v>
      </c>
      <c r="G55" s="20" t="s">
        <v>0</v>
      </c>
      <c r="H55" s="20" t="s">
        <v>0</v>
      </c>
    </row>
    <row r="56" spans="1:8" ht="15" x14ac:dyDescent="0.2">
      <c r="A56" s="190" t="s">
        <v>205</v>
      </c>
      <c r="B56" s="659"/>
      <c r="C56" s="112">
        <f>3561*(100%-'Установка скидки'!$F$11)</f>
        <v>3561</v>
      </c>
      <c r="D56" s="112">
        <f>3809*(100%-'Установка скидки'!$F$11)</f>
        <v>3809</v>
      </c>
      <c r="E56" s="112">
        <f>4323*(100%-'Установка скидки'!$F$11)</f>
        <v>4323</v>
      </c>
      <c r="F56" s="112">
        <f>5127*(100%-'Установка скидки'!$F$11)</f>
        <v>5127</v>
      </c>
      <c r="G56" s="112">
        <f>5686*(100%-'Установка скидки'!$F$11)</f>
        <v>5686</v>
      </c>
      <c r="H56" s="112">
        <f>7155*(100%-'Установка скидки'!$F$11)</f>
        <v>7155</v>
      </c>
    </row>
    <row r="57" spans="1:8" ht="20.100000000000001" customHeight="1" x14ac:dyDescent="0.2">
      <c r="A57" s="189" t="s">
        <v>79</v>
      </c>
      <c r="B57" s="661"/>
      <c r="C57" s="21"/>
      <c r="D57" s="21"/>
      <c r="E57" s="21"/>
      <c r="F57" s="21"/>
      <c r="G57" s="21"/>
      <c r="H57" s="21"/>
    </row>
    <row r="58" spans="1:8" ht="15" x14ac:dyDescent="0.2">
      <c r="A58" s="190" t="s">
        <v>205</v>
      </c>
      <c r="B58" s="659"/>
      <c r="C58" s="112">
        <f>1542*(100%-'Установка скидки'!$F$11)</f>
        <v>1542</v>
      </c>
      <c r="D58" s="112">
        <f>1641*(100%-'Установка скидки'!$F$11)</f>
        <v>1641</v>
      </c>
      <c r="E58" s="112">
        <f>1840*(100%-'Установка скидки'!$F$11)</f>
        <v>1840</v>
      </c>
      <c r="F58" s="112">
        <f>2145*(100%-'Установка скидки'!$F$11)</f>
        <v>2145</v>
      </c>
      <c r="G58" s="112">
        <f>2352*(100%-'Установка скидки'!$F$11)</f>
        <v>2352</v>
      </c>
      <c r="H58" s="112">
        <f>2886*(100%-'Установка скидки'!$F$11)</f>
        <v>2886</v>
      </c>
    </row>
    <row r="59" spans="1:8" ht="20.100000000000001" customHeight="1" x14ac:dyDescent="0.2">
      <c r="A59" s="189" t="s">
        <v>99</v>
      </c>
      <c r="B59" s="658"/>
      <c r="C59" s="113"/>
      <c r="D59" s="113"/>
      <c r="E59" s="113"/>
      <c r="F59" s="113"/>
      <c r="G59" s="113"/>
      <c r="H59" s="113"/>
    </row>
    <row r="60" spans="1:8" ht="15" x14ac:dyDescent="0.2">
      <c r="A60" s="190" t="s">
        <v>205</v>
      </c>
      <c r="B60" s="659"/>
      <c r="C60" s="112">
        <f>2244*(100%-'Установка скидки'!$F$11)</f>
        <v>2244</v>
      </c>
      <c r="D60" s="112">
        <f>2412*(100%-'Установка скидки'!$F$11)</f>
        <v>2412</v>
      </c>
      <c r="E60" s="112">
        <f>2758*(100%-'Установка скидки'!$F$11)</f>
        <v>2758</v>
      </c>
      <c r="F60" s="112">
        <f>3307*(100%-'Установка скидки'!$F$11)</f>
        <v>3307</v>
      </c>
      <c r="G60" s="112">
        <f>3693*(100%-'Установка скидки'!$F$11)</f>
        <v>3693</v>
      </c>
      <c r="H60" s="112">
        <f>4724*(100%-'Установка скидки'!$F$11)</f>
        <v>4724</v>
      </c>
    </row>
    <row r="61" spans="1:8" ht="20.100000000000001" customHeight="1" x14ac:dyDescent="0.2">
      <c r="A61" s="189" t="s">
        <v>87</v>
      </c>
      <c r="B61" s="658"/>
      <c r="C61" s="113"/>
      <c r="D61" s="113"/>
      <c r="E61" s="113"/>
      <c r="F61" s="113"/>
      <c r="G61" s="113"/>
      <c r="H61" s="113"/>
    </row>
    <row r="62" spans="1:8" x14ac:dyDescent="0.2">
      <c r="A62" s="191" t="s">
        <v>203</v>
      </c>
      <c r="B62" s="660"/>
      <c r="C62" s="563">
        <f>5386*(100%-'Установка скидки'!$F$11)</f>
        <v>5386</v>
      </c>
      <c r="D62" s="563">
        <f>5760*(100%-'Установка скидки'!$F$11)</f>
        <v>5760</v>
      </c>
      <c r="E62" s="19" t="s">
        <v>0</v>
      </c>
      <c r="F62" s="20" t="s">
        <v>0</v>
      </c>
      <c r="G62" s="19" t="s">
        <v>0</v>
      </c>
      <c r="H62" s="563">
        <f>10887*(100%-'Установка скидки'!$F$11)</f>
        <v>10887</v>
      </c>
    </row>
    <row r="63" spans="1:8" ht="15" x14ac:dyDescent="0.2">
      <c r="A63" s="190" t="s">
        <v>205</v>
      </c>
      <c r="B63" s="659"/>
      <c r="C63" s="112">
        <f>6309*(100%-'Установка скидки'!$F$11)</f>
        <v>6309</v>
      </c>
      <c r="D63" s="112">
        <f>6775*(100%-'Установка скидки'!$F$11)</f>
        <v>6775</v>
      </c>
      <c r="E63" s="112">
        <f>7739*(100%-'Установка скидки'!$F$11)</f>
        <v>7739</v>
      </c>
      <c r="F63" s="112">
        <f>9267*(100%-'Установка скидки'!$F$11)</f>
        <v>9267</v>
      </c>
      <c r="G63" s="112">
        <f>10341*(100%-'Установка скидки'!$F$11)</f>
        <v>10341</v>
      </c>
      <c r="H63" s="112">
        <f>13219*(100%-'Установка скидки'!$F$11)</f>
        <v>13219</v>
      </c>
    </row>
    <row r="64" spans="1:8" ht="20.100000000000001" customHeight="1" x14ac:dyDescent="0.2">
      <c r="A64" s="189" t="s">
        <v>88</v>
      </c>
      <c r="B64" s="658"/>
      <c r="C64" s="113"/>
      <c r="D64" s="113"/>
      <c r="E64" s="113"/>
      <c r="F64" s="113"/>
      <c r="G64" s="113"/>
      <c r="H64" s="113"/>
    </row>
    <row r="65" spans="1:8" x14ac:dyDescent="0.2">
      <c r="A65" s="191" t="s">
        <v>203</v>
      </c>
      <c r="B65" s="660"/>
      <c r="C65" s="113" t="s">
        <v>0</v>
      </c>
      <c r="D65" s="563">
        <f>4412*(100%-'Установка скидки'!$F$11)</f>
        <v>4412</v>
      </c>
      <c r="E65" s="19" t="s">
        <v>0</v>
      </c>
      <c r="F65" s="19" t="s">
        <v>0</v>
      </c>
      <c r="G65" s="19" t="s">
        <v>0</v>
      </c>
      <c r="H65" s="19" t="s">
        <v>0</v>
      </c>
    </row>
    <row r="66" spans="1:8" ht="15" x14ac:dyDescent="0.2">
      <c r="A66" s="190" t="s">
        <v>205</v>
      </c>
      <c r="B66" s="659"/>
      <c r="C66" s="112">
        <f>4645*(100%-'Установка скидки'!$F$11)</f>
        <v>4645</v>
      </c>
      <c r="D66" s="112">
        <f>4963*(100%-'Установка скидки'!$F$11)</f>
        <v>4963</v>
      </c>
      <c r="E66" s="112">
        <f>5615*(100%-'Установка скидки'!$F$11)</f>
        <v>5615</v>
      </c>
      <c r="F66" s="112">
        <f>6631*(100%-'Установка скидки'!$F$11)</f>
        <v>6631</v>
      </c>
      <c r="G66" s="112">
        <f>7334*(100%-'Установка скидки'!$F$11)</f>
        <v>7334</v>
      </c>
      <c r="H66" s="112">
        <f>9184*(100%-'Установка скидки'!$F$11)</f>
        <v>9184</v>
      </c>
    </row>
    <row r="67" spans="1:8" ht="20.100000000000001" customHeight="1" x14ac:dyDescent="0.2">
      <c r="A67" s="192" t="s">
        <v>100</v>
      </c>
      <c r="B67" s="663"/>
      <c r="C67" s="114"/>
      <c r="D67" s="114"/>
      <c r="E67" s="114"/>
      <c r="F67" s="114"/>
      <c r="G67" s="114"/>
      <c r="H67" s="114"/>
    </row>
    <row r="68" spans="1:8" ht="15" x14ac:dyDescent="0.2">
      <c r="A68" s="666" t="s">
        <v>205</v>
      </c>
      <c r="B68" s="667"/>
      <c r="C68" s="668">
        <f>3791*(100%-'Установка скидки'!$F$11)</f>
        <v>3791</v>
      </c>
      <c r="D68" s="668">
        <f>4017*(100%-'Установка скидки'!$F$11)</f>
        <v>4017</v>
      </c>
      <c r="E68" s="668">
        <f>4470*(100%-'Установка скидки'!$F$11)</f>
        <v>4470</v>
      </c>
      <c r="F68" s="668">
        <f>5152*(100%-'Установка скидки'!$F$11)</f>
        <v>5152</v>
      </c>
      <c r="G68" s="668">
        <f>5608*(100%-'Установка скидки'!$F$11)</f>
        <v>5608</v>
      </c>
      <c r="H68" s="668">
        <f>6755*(100%-'Установка скидки'!$F$11)</f>
        <v>6755</v>
      </c>
    </row>
    <row r="69" spans="1:8" ht="15" x14ac:dyDescent="0.2">
      <c r="A69" s="192" t="s">
        <v>229</v>
      </c>
      <c r="B69" s="670"/>
      <c r="C69" s="670"/>
      <c r="D69" s="670"/>
      <c r="E69" s="670"/>
      <c r="F69" s="670"/>
      <c r="G69" s="670"/>
      <c r="H69" s="112"/>
    </row>
    <row r="70" spans="1:8" ht="15" x14ac:dyDescent="0.2">
      <c r="A70" s="191" t="s">
        <v>203</v>
      </c>
      <c r="B70" s="670" t="s">
        <v>0</v>
      </c>
      <c r="C70" s="670" t="s">
        <v>0</v>
      </c>
      <c r="D70" s="670" t="s">
        <v>0</v>
      </c>
      <c r="E70" s="670" t="s">
        <v>0</v>
      </c>
      <c r="F70" s="670" t="s">
        <v>0</v>
      </c>
      <c r="G70" s="563">
        <f>2823*(100%-'Установка скидки'!$F$11)</f>
        <v>2823</v>
      </c>
      <c r="H70" s="112"/>
    </row>
    <row r="71" spans="1:8" ht="20.100000000000001" customHeight="1" x14ac:dyDescent="0.2">
      <c r="A71" s="669" t="s">
        <v>101</v>
      </c>
      <c r="B71" s="661"/>
      <c r="C71" s="21"/>
      <c r="D71" s="21"/>
      <c r="E71" s="21"/>
      <c r="F71" s="21"/>
      <c r="G71" s="21"/>
      <c r="H71" s="21"/>
    </row>
    <row r="72" spans="1:8" ht="15" customHeight="1" x14ac:dyDescent="0.2">
      <c r="A72" s="191" t="s">
        <v>203</v>
      </c>
      <c r="B72" s="662"/>
      <c r="C72" s="21" t="s">
        <v>0</v>
      </c>
      <c r="D72" s="562">
        <f>3926*(100%-'Установка скидки'!$F$11)</f>
        <v>3926</v>
      </c>
      <c r="E72" s="562">
        <f>4341*(100%-'Установка скидки'!$F$11)</f>
        <v>4341</v>
      </c>
      <c r="F72" s="562">
        <f>4956*(100%-'Установка скидки'!$F$11)</f>
        <v>4956</v>
      </c>
      <c r="G72" s="21" t="s">
        <v>0</v>
      </c>
      <c r="H72" s="21" t="s">
        <v>0</v>
      </c>
    </row>
    <row r="73" spans="1:8" ht="15" x14ac:dyDescent="0.2">
      <c r="A73" s="190" t="s">
        <v>205</v>
      </c>
      <c r="B73" s="659"/>
      <c r="C73" s="112">
        <f>3870*(100%-'Установка скидки'!$F$11)</f>
        <v>3870</v>
      </c>
      <c r="D73" s="112">
        <f>4104*(100%-'Установка скидки'!$F$11)</f>
        <v>4104</v>
      </c>
      <c r="E73" s="112">
        <f>4573*(100%-'Установка скидки'!$F$11)</f>
        <v>4573</v>
      </c>
      <c r="F73" s="112">
        <f>5281*(100%-'Установка скидки'!$F$11)</f>
        <v>5281</v>
      </c>
      <c r="G73" s="112">
        <f>5757*(100%-'Установка скидки'!$F$11)</f>
        <v>5757</v>
      </c>
      <c r="H73" s="112">
        <f>6957*(100%-'Установка скидки'!$F$11)</f>
        <v>6957</v>
      </c>
    </row>
    <row r="74" spans="1:8" ht="20.100000000000001" customHeight="1" x14ac:dyDescent="0.2">
      <c r="A74" s="189" t="s">
        <v>102</v>
      </c>
      <c r="B74" s="661"/>
      <c r="C74" s="21"/>
      <c r="D74" s="21"/>
      <c r="E74" s="21"/>
      <c r="F74" s="21"/>
      <c r="G74" s="21"/>
      <c r="H74" s="21"/>
    </row>
    <row r="75" spans="1:8" x14ac:dyDescent="0.2">
      <c r="A75" s="191" t="s">
        <v>203</v>
      </c>
      <c r="B75" s="662"/>
      <c r="C75" s="562">
        <f>1597*(100%-'Установка скидки'!$F$11)</f>
        <v>1597</v>
      </c>
      <c r="D75" s="562">
        <f>1680*(100%-'Установка скидки'!$F$11)</f>
        <v>1680</v>
      </c>
      <c r="E75" s="19" t="s">
        <v>0</v>
      </c>
      <c r="F75" s="562">
        <f>2068*(100%-'Установка скидки'!$F$11)</f>
        <v>2068</v>
      </c>
      <c r="G75" s="562">
        <f>2344*(100%-'Установка скидки'!$F$11)</f>
        <v>2344</v>
      </c>
      <c r="H75" s="19" t="s">
        <v>0</v>
      </c>
    </row>
    <row r="76" spans="1:8" ht="15" x14ac:dyDescent="0.2">
      <c r="A76" s="190" t="s">
        <v>208</v>
      </c>
      <c r="B76" s="659"/>
      <c r="C76" s="112">
        <f>1584*(100%-'Установка скидки'!$F$11)</f>
        <v>1584</v>
      </c>
      <c r="D76" s="112">
        <f>1673*(100%-'Установка скидки'!$F$11)</f>
        <v>1673</v>
      </c>
      <c r="E76" s="96">
        <f>1829*(100%-'Установка скидки'!$F$11)</f>
        <v>1829</v>
      </c>
      <c r="F76" s="96">
        <f>2097*(100%-'Установка скидки'!$F$11)</f>
        <v>2097</v>
      </c>
      <c r="G76" s="96">
        <f>2323*(100%-'Установка скидки'!$F$11)</f>
        <v>2323</v>
      </c>
      <c r="H76" s="96">
        <f>2718*(100%-'Установка скидки'!$F$11)</f>
        <v>2718</v>
      </c>
    </row>
    <row r="77" spans="1:8" ht="20.100000000000001" customHeight="1" x14ac:dyDescent="0.2">
      <c r="A77" s="189" t="s">
        <v>103</v>
      </c>
      <c r="B77" s="658"/>
      <c r="C77" s="113"/>
      <c r="D77" s="113"/>
      <c r="E77" s="113"/>
      <c r="F77" s="113"/>
      <c r="G77" s="113"/>
      <c r="H77" s="113"/>
    </row>
    <row r="78" spans="1:8" x14ac:dyDescent="0.2">
      <c r="A78" s="193" t="s">
        <v>203</v>
      </c>
      <c r="B78" s="648"/>
      <c r="C78" s="19" t="s">
        <v>0</v>
      </c>
      <c r="D78" s="561">
        <f>2296*(100%-'Установка скидки'!$F$11)</f>
        <v>2296</v>
      </c>
      <c r="E78" s="561">
        <f>2508*(100%-'Установка скидки'!$F$11)</f>
        <v>2508</v>
      </c>
      <c r="F78" s="561">
        <f>2873*(100%-'Установка скидки'!$F$11)</f>
        <v>2873</v>
      </c>
      <c r="G78" s="568" t="s">
        <v>0</v>
      </c>
      <c r="H78" s="561">
        <f>3781*(100%-'Установка скидки'!$F$11)</f>
        <v>3781</v>
      </c>
    </row>
    <row r="79" spans="1:8" ht="15" x14ac:dyDescent="0.2">
      <c r="A79" s="194" t="s">
        <v>205</v>
      </c>
      <c r="B79" s="664"/>
      <c r="C79" s="100">
        <f>2222*(100%-'Установка скидки'!$F$11)</f>
        <v>2222</v>
      </c>
      <c r="D79" s="100">
        <f>2353*(100%-'Установка скидки'!$F$11)</f>
        <v>2353</v>
      </c>
      <c r="E79" s="100">
        <f>2604*(100%-'Установка скидки'!$F$11)</f>
        <v>2604</v>
      </c>
      <c r="F79" s="100">
        <f>3000*(100%-'Установка скидки'!$F$11)</f>
        <v>3000</v>
      </c>
      <c r="G79" s="100">
        <f>3294*(100%-'Установка скидки'!$F$11)</f>
        <v>3294</v>
      </c>
      <c r="H79" s="100">
        <f>3969*(100%-'Установка скидки'!$F$11)</f>
        <v>3969</v>
      </c>
    </row>
    <row r="80" spans="1:8" ht="19.5" customHeight="1" x14ac:dyDescent="0.2">
      <c r="A80" s="600" t="s">
        <v>195</v>
      </c>
      <c r="B80" s="665"/>
      <c r="C80" s="100"/>
      <c r="D80" s="100"/>
      <c r="E80" s="100"/>
      <c r="F80" s="100"/>
      <c r="G80" s="100"/>
      <c r="H80" s="100"/>
    </row>
    <row r="81" spans="1:14" ht="15" x14ac:dyDescent="0.2">
      <c r="A81" s="194" t="s">
        <v>205</v>
      </c>
      <c r="B81" s="664"/>
      <c r="C81" s="100">
        <f>6300*(100%-'Установка скидки'!$F$11)</f>
        <v>6300</v>
      </c>
      <c r="D81" s="100" t="s">
        <v>0</v>
      </c>
      <c r="E81" s="100">
        <f>7700*(100%-'Установка скидки'!$F$11)</f>
        <v>7700</v>
      </c>
      <c r="F81" s="100" t="s">
        <v>0</v>
      </c>
      <c r="G81" s="100">
        <f>10000*(100%-'Установка скидки'!$F$11)</f>
        <v>10000</v>
      </c>
      <c r="H81" s="100" t="s">
        <v>0</v>
      </c>
    </row>
    <row r="82" spans="1:14" ht="27.75" customHeight="1" x14ac:dyDescent="0.2">
      <c r="A82" s="144" t="s">
        <v>134</v>
      </c>
      <c r="B82" s="144"/>
      <c r="C82" s="96"/>
      <c r="D82" s="96"/>
      <c r="E82" s="96"/>
      <c r="F82" s="96"/>
      <c r="G82" s="96"/>
      <c r="H82" s="96"/>
    </row>
    <row r="83" spans="1:14" ht="15" x14ac:dyDescent="0.2">
      <c r="A83" s="166" t="s">
        <v>136</v>
      </c>
      <c r="B83" s="166"/>
      <c r="C83" s="96">
        <f>653*(100%-'Установка скидки'!$F$11)</f>
        <v>653</v>
      </c>
      <c r="D83" s="96">
        <f>677*(100%-'Установка скидки'!$F$11)</f>
        <v>677</v>
      </c>
      <c r="E83" s="96">
        <f>779*(100%-'Установка скидки'!$F$11)</f>
        <v>779</v>
      </c>
      <c r="F83" s="96">
        <f>951*(100%-'Установка скидки'!$F$11)</f>
        <v>951</v>
      </c>
      <c r="G83" s="96">
        <f>1036*(100%-'Установка скидки'!$F$11)</f>
        <v>1036</v>
      </c>
      <c r="H83" s="96">
        <f>1252*(100%-'Установка скидки'!$F$11)</f>
        <v>1252</v>
      </c>
    </row>
    <row r="84" spans="1:14" ht="15" x14ac:dyDescent="0.2">
      <c r="A84" s="671" t="s">
        <v>230</v>
      </c>
      <c r="B84" s="672"/>
      <c r="C84" s="561">
        <f>522*(100%-'Установка скидки'!$F$11)</f>
        <v>522</v>
      </c>
      <c r="D84" s="100"/>
      <c r="E84" s="561">
        <f>623*(100%-'Установка скидки'!$F$11)</f>
        <v>623</v>
      </c>
      <c r="F84" s="100"/>
      <c r="G84" s="561">
        <f>829*(100%-'Установка скидки'!$F$11)</f>
        <v>829</v>
      </c>
      <c r="H84" s="561">
        <f>1002*(100%-'Установка скидки'!$F$11)</f>
        <v>1002</v>
      </c>
    </row>
    <row r="85" spans="1:14" ht="20.100000000000001" customHeight="1" x14ac:dyDescent="0.2">
      <c r="A85" s="144" t="s">
        <v>220</v>
      </c>
      <c r="B85" s="144"/>
      <c r="C85" s="96"/>
      <c r="D85" s="96"/>
      <c r="E85" s="96"/>
      <c r="F85" s="96"/>
      <c r="G85" s="96"/>
      <c r="H85" s="96"/>
    </row>
    <row r="86" spans="1:14" ht="15" x14ac:dyDescent="0.2">
      <c r="A86" s="166" t="s">
        <v>137</v>
      </c>
      <c r="B86" s="166"/>
      <c r="C86" s="96">
        <f>929*(100%-'Установка скидки'!$F$11)</f>
        <v>929</v>
      </c>
      <c r="D86" s="96">
        <f>985*(100%-'Установка скидки'!$F$11)</f>
        <v>985</v>
      </c>
      <c r="E86" s="96">
        <f>1091*(100%-'Установка скидки'!$F$11)</f>
        <v>1091</v>
      </c>
      <c r="F86" s="96">
        <f>1320*(100%-'Установка скидки'!$F$11)</f>
        <v>1320</v>
      </c>
      <c r="G86" s="96">
        <f>1439*(100%-'Установка скидки'!$F$11)</f>
        <v>1439</v>
      </c>
      <c r="H86" s="96">
        <f>1531*(100%-'Установка скидки'!$F$11)</f>
        <v>1531</v>
      </c>
    </row>
    <row r="87" spans="1:14" x14ac:dyDescent="0.2">
      <c r="A87" s="166"/>
      <c r="B87" s="166"/>
      <c r="C87" s="561">
        <f>370*(100%-'Установка скидки'!$F$11)</f>
        <v>370</v>
      </c>
      <c r="D87" s="673"/>
      <c r="E87" s="561">
        <f>873*(100%-'Установка скидки'!$F$11)</f>
        <v>873</v>
      </c>
      <c r="F87" s="673"/>
      <c r="G87" s="561">
        <f>1151*(100%-'Установка скидки'!$F$11)</f>
        <v>1151</v>
      </c>
      <c r="H87" s="561">
        <f>1225*(100%-'Установка скидки'!$F$11)</f>
        <v>1225</v>
      </c>
    </row>
    <row r="89" spans="1:14" x14ac:dyDescent="0.2">
      <c r="A89" s="186" t="s">
        <v>23</v>
      </c>
      <c r="B89" s="186"/>
      <c r="C89" s="115"/>
      <c r="D89" s="115"/>
      <c r="E89" s="115"/>
      <c r="F89" s="115"/>
      <c r="G89" s="115"/>
      <c r="H89" s="115"/>
    </row>
    <row r="90" spans="1:14" x14ac:dyDescent="0.2">
      <c r="A90" s="555" t="s">
        <v>25</v>
      </c>
      <c r="B90" s="555"/>
      <c r="C90" s="556"/>
      <c r="D90" s="556"/>
      <c r="E90" s="556"/>
      <c r="F90" s="556"/>
      <c r="G90" s="116"/>
      <c r="H90" s="117"/>
    </row>
    <row r="91" spans="1:14" x14ac:dyDescent="0.2">
      <c r="A91" s="182" t="s">
        <v>16</v>
      </c>
      <c r="B91" s="182"/>
      <c r="C91" s="116"/>
      <c r="D91" s="116"/>
      <c r="E91" s="116"/>
      <c r="F91" s="116"/>
      <c r="G91" s="116"/>
      <c r="H91" s="117"/>
      <c r="I91" s="41"/>
    </row>
    <row r="92" spans="1:14" x14ac:dyDescent="0.2">
      <c r="A92" s="182" t="s">
        <v>18</v>
      </c>
      <c r="B92" s="182"/>
      <c r="C92" s="116"/>
      <c r="D92" s="116"/>
      <c r="E92" s="116"/>
      <c r="F92" s="116"/>
      <c r="G92" s="116"/>
      <c r="H92" s="117"/>
      <c r="I92" s="41"/>
    </row>
    <row r="93" spans="1:14" x14ac:dyDescent="0.2">
      <c r="A93" s="182" t="s">
        <v>19</v>
      </c>
      <c r="B93" s="182"/>
      <c r="C93" s="116"/>
      <c r="D93" s="116"/>
      <c r="E93" s="116"/>
      <c r="F93" s="116"/>
      <c r="G93" s="116"/>
      <c r="H93" s="117"/>
      <c r="I93" s="41"/>
    </row>
    <row r="94" spans="1:14" x14ac:dyDescent="0.2">
      <c r="A94" s="182" t="s">
        <v>22</v>
      </c>
      <c r="B94" s="182"/>
      <c r="C94" s="116"/>
      <c r="D94" s="116"/>
      <c r="E94" s="116"/>
      <c r="F94" s="116"/>
      <c r="G94" s="116"/>
      <c r="H94" s="117"/>
      <c r="I94" s="42"/>
    </row>
    <row r="95" spans="1:14" x14ac:dyDescent="0.2">
      <c r="A95" s="751" t="s">
        <v>21</v>
      </c>
      <c r="B95" s="751"/>
      <c r="C95" s="698"/>
      <c r="D95" s="698"/>
      <c r="E95" s="698"/>
      <c r="F95" s="698"/>
      <c r="G95" s="698"/>
      <c r="H95" s="698"/>
      <c r="I95" s="698"/>
      <c r="J95" s="69"/>
      <c r="K95" s="69"/>
      <c r="L95" s="69"/>
      <c r="M95" s="69"/>
      <c r="N95" s="69"/>
    </row>
    <row r="96" spans="1:14" ht="36.75" customHeight="1" x14ac:dyDescent="0.2">
      <c r="A96" s="752" t="s">
        <v>143</v>
      </c>
      <c r="B96" s="752"/>
      <c r="C96" s="696"/>
      <c r="D96" s="696"/>
      <c r="E96" s="696"/>
      <c r="F96" s="696"/>
      <c r="G96" s="696"/>
      <c r="H96" s="696"/>
      <c r="I96" s="696"/>
      <c r="J96" s="696"/>
      <c r="K96" s="69"/>
      <c r="L96" s="69"/>
      <c r="M96" s="69"/>
      <c r="N96" s="69"/>
    </row>
  </sheetData>
  <protectedRanges>
    <protectedRange sqref="B9 D1:H9 C1:C8" name="Диапазон1_1_2_1_1"/>
    <protectedRange sqref="A90:H94" name="Диапазон1_18_1_1_1"/>
    <protectedRange sqref="A19:B19" name="Диапазон1_2_2_1_8"/>
    <protectedRange sqref="A15:B15" name="Диапазон1_6_1_1_3"/>
    <protectedRange sqref="A21:B21" name="Диапазон1_2_2_1_1_3"/>
    <protectedRange sqref="A23:B23" name="Диапазон1_2_2_1_2_3"/>
    <protectedRange sqref="A25:B25" name="Диапазон1_2_2_1_3_3"/>
    <protectedRange sqref="A29:B29 A31:B31 A34:B34" name="Диапазон1_2_2_1_4_3"/>
    <protectedRange sqref="A37:B37" name="Диапазон1_2_2_1_5_3"/>
    <protectedRange sqref="K10:P15" name="Диапазон1_1_2_1_1_1"/>
    <protectedRange sqref="A9:A10 B10" name="Диапазон1_2_2_1_9"/>
    <protectedRange sqref="A12:B12 A18:B18 A20:B20 A22:B22 A24:B24 A26:B26 A28:B28 A30:B30 A32:B32 A35:B35 A38:B38" name="Диапазон1_2_2_1_11"/>
    <protectedRange sqref="A47:B48" name="Диапазон1_2_2_1_12"/>
    <protectedRange sqref="A80:B80" name="Диапазон1_8"/>
  </protectedRanges>
  <mergeCells count="8">
    <mergeCell ref="C1:H5"/>
    <mergeCell ref="C6:H6"/>
    <mergeCell ref="A95:I95"/>
    <mergeCell ref="A96:J96"/>
    <mergeCell ref="A9:A10"/>
    <mergeCell ref="A47:A48"/>
    <mergeCell ref="C47:H47"/>
    <mergeCell ref="B9:H9"/>
  </mergeCells>
  <pageMargins left="0.23622047244094491" right="0.19685039370078741" top="0.15748031496062992" bottom="0.15748031496062992" header="0.31496062992125984" footer="0.31496062992125984"/>
  <pageSetup paperSize="9" scale="4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/>
    <pageSetUpPr fitToPage="1"/>
  </sheetPr>
  <dimension ref="A1:P92"/>
  <sheetViews>
    <sheetView showGridLines="0" topLeftCell="A44" zoomScaleNormal="100" workbookViewId="0">
      <selection activeCell="B75" sqref="B75"/>
    </sheetView>
  </sheetViews>
  <sheetFormatPr defaultRowHeight="12.75" x14ac:dyDescent="0.2"/>
  <cols>
    <col min="1" max="1" width="49.7109375" customWidth="1"/>
    <col min="2" max="4" width="10.7109375" style="90" customWidth="1"/>
    <col min="5" max="6" width="10.7109375" style="91" customWidth="1"/>
    <col min="7" max="7" width="10.7109375" style="92" customWidth="1"/>
    <col min="8" max="9" width="10.7109375" style="91" customWidth="1"/>
    <col min="10" max="10" width="8.140625" customWidth="1"/>
    <col min="11" max="11" width="7.140625" customWidth="1"/>
  </cols>
  <sheetData>
    <row r="1" spans="1:16" ht="15" x14ac:dyDescent="0.25">
      <c r="A1" s="1"/>
      <c r="B1" s="708"/>
      <c r="C1" s="760"/>
      <c r="D1" s="760"/>
      <c r="E1" s="760"/>
      <c r="F1" s="760"/>
      <c r="G1" s="760"/>
      <c r="H1" s="760"/>
      <c r="I1" s="87"/>
      <c r="J1" s="2"/>
      <c r="K1" s="2"/>
    </row>
    <row r="2" spans="1:16" ht="15" customHeight="1" x14ac:dyDescent="0.25">
      <c r="A2" s="1"/>
      <c r="B2" s="760"/>
      <c r="C2" s="760"/>
      <c r="D2" s="760"/>
      <c r="E2" s="760"/>
      <c r="F2" s="760"/>
      <c r="G2" s="760"/>
      <c r="H2" s="760"/>
      <c r="I2" s="88"/>
      <c r="J2" s="2"/>
      <c r="K2" s="2"/>
    </row>
    <row r="3" spans="1:16" ht="15" customHeight="1" x14ac:dyDescent="0.25">
      <c r="A3" s="1"/>
      <c r="B3" s="760"/>
      <c r="C3" s="760"/>
      <c r="D3" s="760"/>
      <c r="E3" s="760"/>
      <c r="F3" s="760"/>
      <c r="G3" s="760"/>
      <c r="H3" s="760"/>
      <c r="I3" s="88"/>
      <c r="J3" s="2"/>
      <c r="K3" s="2"/>
    </row>
    <row r="4" spans="1:16" ht="18" customHeight="1" x14ac:dyDescent="0.25">
      <c r="A4" s="1"/>
      <c r="B4" s="760"/>
      <c r="C4" s="760"/>
      <c r="D4" s="760"/>
      <c r="E4" s="760"/>
      <c r="F4" s="760"/>
      <c r="G4" s="760"/>
      <c r="H4" s="760"/>
      <c r="I4" s="72"/>
      <c r="J4" s="2"/>
      <c r="K4" s="2"/>
    </row>
    <row r="5" spans="1:16" ht="15" customHeight="1" x14ac:dyDescent="0.2">
      <c r="A5" s="3"/>
      <c r="B5" s="760"/>
      <c r="C5" s="760"/>
      <c r="D5" s="760"/>
      <c r="E5" s="760"/>
      <c r="F5" s="760"/>
      <c r="G5" s="760"/>
      <c r="H5" s="760"/>
      <c r="I5" s="12"/>
      <c r="J5" s="2"/>
      <c r="K5" s="2"/>
    </row>
    <row r="6" spans="1:16" ht="15" customHeight="1" x14ac:dyDescent="0.25">
      <c r="A6" s="1"/>
      <c r="B6" s="760"/>
      <c r="C6" s="760"/>
      <c r="D6" s="760"/>
      <c r="E6" s="760"/>
      <c r="F6" s="760"/>
      <c r="G6" s="760"/>
      <c r="H6" s="760"/>
      <c r="I6" s="12"/>
      <c r="J6" s="2"/>
      <c r="K6" s="2"/>
    </row>
    <row r="7" spans="1:16" ht="37.5" customHeight="1" x14ac:dyDescent="0.25">
      <c r="A7" s="1"/>
      <c r="B7" s="150"/>
      <c r="C7" s="150"/>
      <c r="D7" s="150"/>
      <c r="E7" s="150"/>
      <c r="F7" s="150"/>
      <c r="G7" s="150"/>
      <c r="H7" s="150"/>
      <c r="I7" s="12"/>
      <c r="J7" s="2"/>
      <c r="K7" s="2"/>
    </row>
    <row r="8" spans="1:16" ht="37.5" customHeight="1" x14ac:dyDescent="0.25">
      <c r="A8" s="1"/>
      <c r="B8" s="230"/>
      <c r="C8" s="230"/>
      <c r="D8" s="230"/>
      <c r="E8" s="230"/>
      <c r="F8" s="230"/>
      <c r="G8" s="230"/>
      <c r="H8" s="230"/>
      <c r="I8" s="12"/>
      <c r="J8" s="2"/>
      <c r="K8" s="2"/>
    </row>
    <row r="9" spans="1:16" ht="15" customHeight="1" x14ac:dyDescent="0.2">
      <c r="A9" s="714" t="s">
        <v>130</v>
      </c>
      <c r="B9" s="756" t="s">
        <v>14</v>
      </c>
      <c r="C9" s="759"/>
      <c r="D9" s="759"/>
      <c r="E9" s="759"/>
      <c r="F9" s="759"/>
      <c r="G9" s="759"/>
      <c r="H9" s="759"/>
      <c r="I9" s="759"/>
      <c r="J9" s="2"/>
      <c r="K9" s="2"/>
    </row>
    <row r="10" spans="1:16" ht="15" x14ac:dyDescent="0.2">
      <c r="A10" s="764"/>
      <c r="B10" s="143">
        <v>80</v>
      </c>
      <c r="C10" s="143">
        <v>110</v>
      </c>
      <c r="D10" s="143">
        <v>120</v>
      </c>
      <c r="E10" s="143">
        <v>130</v>
      </c>
      <c r="F10" s="143">
        <v>150</v>
      </c>
      <c r="G10" s="143">
        <v>180</v>
      </c>
      <c r="H10" s="143">
        <v>200</v>
      </c>
      <c r="I10" s="143">
        <v>250</v>
      </c>
    </row>
    <row r="11" spans="1:16" s="183" customFormat="1" ht="20.100000000000001" customHeight="1" x14ac:dyDescent="0.2">
      <c r="A11" s="169" t="s">
        <v>65</v>
      </c>
      <c r="B11" s="8"/>
      <c r="C11" s="8"/>
      <c r="D11" s="8"/>
      <c r="E11" s="8"/>
      <c r="F11" s="8"/>
      <c r="G11" s="8"/>
      <c r="H11" s="8"/>
      <c r="I11" s="8"/>
      <c r="K11" s="753"/>
      <c r="L11" s="753"/>
      <c r="M11" s="753"/>
      <c r="N11" s="753"/>
      <c r="O11" s="753"/>
      <c r="P11" s="753"/>
    </row>
    <row r="12" spans="1:16" ht="15" customHeight="1" x14ac:dyDescent="0.2">
      <c r="A12" s="170" t="s">
        <v>136</v>
      </c>
      <c r="B12" s="36">
        <f>1325*(100%-'Установка скидки'!$F$11)</f>
        <v>1325</v>
      </c>
      <c r="C12" s="36" t="s">
        <v>0</v>
      </c>
      <c r="D12" s="36">
        <f>1470*(100%-'Установка скидки'!$F$11)</f>
        <v>1470</v>
      </c>
      <c r="E12" s="36">
        <f>1525*(100%-'Установка скидки'!$F$11)</f>
        <v>1525</v>
      </c>
      <c r="F12" s="36">
        <f>1640*(100%-'Установка скидки'!$F$11)</f>
        <v>1640</v>
      </c>
      <c r="G12" s="36">
        <f>1907*(100%-'Установка скидки'!$F$11)</f>
        <v>1907</v>
      </c>
      <c r="H12" s="36">
        <f>2672*(100%-'Установка скидки'!$F$11)</f>
        <v>2672</v>
      </c>
      <c r="I12" s="36">
        <f>3198*(100%-'Установка скидки'!$F$11)</f>
        <v>3198</v>
      </c>
      <c r="K12" s="753"/>
      <c r="L12" s="753"/>
      <c r="M12" s="753"/>
      <c r="N12" s="753"/>
      <c r="O12" s="753"/>
      <c r="P12" s="753"/>
    </row>
    <row r="13" spans="1:16" s="183" customFormat="1" ht="20.100000000000001" customHeight="1" x14ac:dyDescent="0.2">
      <c r="A13" s="169" t="s">
        <v>66</v>
      </c>
      <c r="B13" s="438"/>
      <c r="C13" s="438"/>
      <c r="D13" s="438"/>
      <c r="E13" s="438"/>
      <c r="F13" s="438"/>
      <c r="G13" s="438"/>
      <c r="H13" s="438"/>
      <c r="I13" s="438"/>
      <c r="K13" s="753"/>
      <c r="L13" s="753"/>
      <c r="M13" s="753"/>
      <c r="N13" s="753"/>
      <c r="O13" s="753"/>
      <c r="P13" s="753"/>
    </row>
    <row r="14" spans="1:16" ht="15" customHeight="1" x14ac:dyDescent="0.2">
      <c r="A14" s="170" t="s">
        <v>136</v>
      </c>
      <c r="B14" s="36">
        <f>443*(100%-'Установка скидки'!$F$11)</f>
        <v>443</v>
      </c>
      <c r="C14" s="36" t="s">
        <v>0</v>
      </c>
      <c r="D14" s="36">
        <f>566*(100%-'Установка скидки'!$F$11)</f>
        <v>566</v>
      </c>
      <c r="E14" s="36">
        <f>599*(100%-'Установка скидки'!$F$11)</f>
        <v>599</v>
      </c>
      <c r="F14" s="36">
        <f>706*(100%-'Установка скидки'!$F$11)</f>
        <v>706</v>
      </c>
      <c r="G14" s="36">
        <f>883*(100%-'Установка скидки'!$F$11)</f>
        <v>883</v>
      </c>
      <c r="H14" s="36">
        <f>1053*(100%-'Установка скидки'!$F$11)</f>
        <v>1053</v>
      </c>
      <c r="I14" s="36">
        <f>1414*(100%-'Установка скидки'!$F$11)</f>
        <v>1414</v>
      </c>
      <c r="K14" s="753"/>
      <c r="L14" s="753"/>
      <c r="M14" s="753"/>
      <c r="N14" s="753"/>
      <c r="O14" s="753"/>
      <c r="P14" s="753"/>
    </row>
    <row r="15" spans="1:16" s="183" customFormat="1" ht="20.100000000000001" customHeight="1" x14ac:dyDescent="0.2">
      <c r="A15" s="195" t="s">
        <v>68</v>
      </c>
      <c r="B15" s="438"/>
      <c r="C15" s="438"/>
      <c r="D15" s="438"/>
      <c r="E15" s="438"/>
      <c r="F15" s="438"/>
      <c r="G15" s="438"/>
      <c r="H15" s="438"/>
      <c r="I15" s="438"/>
      <c r="K15" s="712"/>
      <c r="L15" s="754"/>
      <c r="M15" s="754"/>
      <c r="N15" s="754"/>
      <c r="O15" s="754"/>
      <c r="P15" s="754"/>
    </row>
    <row r="16" spans="1:16" ht="15" customHeight="1" x14ac:dyDescent="0.2">
      <c r="A16" s="170" t="s">
        <v>137</v>
      </c>
      <c r="B16" s="36">
        <f>521*(100%-'Установка скидки'!$F$11)</f>
        <v>521</v>
      </c>
      <c r="C16" s="36">
        <f>618*(100%-'Установка скидки'!$F$11)</f>
        <v>618</v>
      </c>
      <c r="D16" s="36">
        <f>674*(100%-'Установка скидки'!$F$11)</f>
        <v>674</v>
      </c>
      <c r="E16" s="36">
        <f>729*(100%-'Установка скидки'!$F$11)</f>
        <v>729</v>
      </c>
      <c r="F16" s="36">
        <f>840*(100%-'Установка скидки'!$F$11)</f>
        <v>840</v>
      </c>
      <c r="G16" s="36">
        <f>1005*(100%-'Установка скидки'!$F$11)</f>
        <v>1005</v>
      </c>
      <c r="H16" s="36">
        <f>1114*(100%-'Установка скидки'!$F$11)</f>
        <v>1114</v>
      </c>
      <c r="I16" s="36">
        <f>1385*(100%-'Установка скидки'!$F$11)</f>
        <v>1385</v>
      </c>
      <c r="K16" s="12"/>
      <c r="L16" s="12"/>
      <c r="M16" s="12"/>
      <c r="N16" s="12"/>
      <c r="O16" s="12"/>
      <c r="P16" s="12"/>
    </row>
    <row r="17" spans="1:9" s="183" customFormat="1" ht="20.100000000000001" customHeight="1" x14ac:dyDescent="0.2">
      <c r="A17" s="195" t="s">
        <v>69</v>
      </c>
      <c r="B17" s="438"/>
      <c r="C17" s="438"/>
      <c r="D17" s="438"/>
      <c r="E17" s="438"/>
      <c r="F17" s="438"/>
      <c r="G17" s="438"/>
      <c r="H17" s="438"/>
      <c r="I17" s="438"/>
    </row>
    <row r="18" spans="1:9" ht="15" customHeight="1" x14ac:dyDescent="0.2">
      <c r="A18" s="170" t="s">
        <v>137</v>
      </c>
      <c r="B18" s="36">
        <f>607*(100%-'Установка скидки'!$F$11)</f>
        <v>607</v>
      </c>
      <c r="C18" s="36">
        <f>735*(100%-'Установка скидки'!$F$11)</f>
        <v>735</v>
      </c>
      <c r="D18" s="36">
        <f>801*(100%-'Установка скидки'!$F$11)</f>
        <v>801</v>
      </c>
      <c r="E18" s="36">
        <f>867*(100%-'Установка скидки'!$F$11)</f>
        <v>867</v>
      </c>
      <c r="F18" s="36">
        <f>999*(100%-'Установка скидки'!$F$11)</f>
        <v>999</v>
      </c>
      <c r="G18" s="36">
        <f>1196*(100%-'Установка скидки'!$F$11)</f>
        <v>1196</v>
      </c>
      <c r="H18" s="36">
        <f>1327*(100%-'Установка скидки'!$F$11)</f>
        <v>1327</v>
      </c>
      <c r="I18" s="36">
        <f>1869*(100%-'Установка скидки'!$F$11)</f>
        <v>1869</v>
      </c>
    </row>
    <row r="19" spans="1:9" s="196" customFormat="1" ht="20.100000000000001" customHeight="1" x14ac:dyDescent="0.2">
      <c r="A19" s="169" t="s">
        <v>67</v>
      </c>
      <c r="B19" s="438"/>
      <c r="C19" s="438"/>
      <c r="D19" s="438"/>
      <c r="E19" s="438"/>
      <c r="F19" s="438"/>
      <c r="G19" s="438"/>
      <c r="H19" s="438"/>
      <c r="I19" s="438"/>
    </row>
    <row r="20" spans="1:9" s="7" customFormat="1" ht="15" customHeight="1" x14ac:dyDescent="0.2">
      <c r="A20" s="170" t="s">
        <v>137</v>
      </c>
      <c r="B20" s="36">
        <f>907*(100%-'Установка скидки'!$F$11)</f>
        <v>907</v>
      </c>
      <c r="C20" s="36">
        <f>1181*(100%-'Установка скидки'!$F$11)</f>
        <v>1181</v>
      </c>
      <c r="D20" s="36">
        <f>1289*(100%-'Установка скидки'!$F$11)</f>
        <v>1289</v>
      </c>
      <c r="E20" s="36">
        <f>1397*(100%-'Установка скидки'!$F$11)</f>
        <v>1397</v>
      </c>
      <c r="F20" s="36">
        <f>1614*(100%-'Установка скидки'!$F$11)</f>
        <v>1614</v>
      </c>
      <c r="G20" s="36">
        <f>1939*(100%-'Установка скидки'!$F$11)</f>
        <v>1939</v>
      </c>
      <c r="H20" s="36">
        <f>2156*(100%-'Установка скидки'!$F$11)</f>
        <v>2156</v>
      </c>
      <c r="I20" s="36">
        <f>2701*(100%-'Установка скидки'!$F$11)</f>
        <v>2701</v>
      </c>
    </row>
    <row r="21" spans="1:9" s="196" customFormat="1" ht="20.100000000000001" customHeight="1" x14ac:dyDescent="0.2">
      <c r="A21" s="195" t="s">
        <v>71</v>
      </c>
      <c r="B21" s="438"/>
      <c r="C21" s="438"/>
      <c r="D21" s="438"/>
      <c r="E21" s="438"/>
      <c r="F21" s="438"/>
      <c r="G21" s="438"/>
      <c r="H21" s="438"/>
      <c r="I21" s="438"/>
    </row>
    <row r="22" spans="1:9" ht="15" customHeight="1" x14ac:dyDescent="0.2">
      <c r="A22" s="172" t="s">
        <v>137</v>
      </c>
      <c r="B22" s="36">
        <f>1664*(100%-'Установка скидки'!$F$11)</f>
        <v>1664</v>
      </c>
      <c r="C22" s="36">
        <f>2040*(100%-'Установка скидки'!$F$11)</f>
        <v>2040</v>
      </c>
      <c r="D22" s="36">
        <f>2217*(100%-'Установка скидки'!$F$11)</f>
        <v>2217</v>
      </c>
      <c r="E22" s="36">
        <f>2391*(100%-'Установка скидки'!$F$11)</f>
        <v>2391</v>
      </c>
      <c r="F22" s="36">
        <f>2736*(100%-'Установка скидки'!$F$11)</f>
        <v>2736</v>
      </c>
      <c r="G22" s="36">
        <f>3241*(100%-'Установка скидки'!$F$11)</f>
        <v>3241</v>
      </c>
      <c r="H22" s="36">
        <f>3527*(100%-'Установка скидки'!$F$11)</f>
        <v>3527</v>
      </c>
      <c r="I22" s="36">
        <f>4556*(100%-'Установка скидки'!$F$11)</f>
        <v>4556</v>
      </c>
    </row>
    <row r="23" spans="1:9" s="196" customFormat="1" ht="20.100000000000001" customHeight="1" x14ac:dyDescent="0.2">
      <c r="A23" s="195" t="s">
        <v>70</v>
      </c>
      <c r="B23" s="438"/>
      <c r="C23" s="438"/>
      <c r="D23" s="438"/>
      <c r="E23" s="438"/>
      <c r="F23" s="438"/>
      <c r="G23" s="438"/>
      <c r="H23" s="438"/>
      <c r="I23" s="438"/>
    </row>
    <row r="24" spans="1:9" ht="15" customHeight="1" x14ac:dyDescent="0.2">
      <c r="A24" s="172" t="s">
        <v>137</v>
      </c>
      <c r="B24" s="36">
        <f>748*(100%-'Установка скидки'!$F$11)</f>
        <v>748</v>
      </c>
      <c r="C24" s="36">
        <f>981*(100%-'Установка скидки'!$F$11)</f>
        <v>981</v>
      </c>
      <c r="D24" s="36">
        <f>1037*(100%-'Установка скидки'!$F$11)</f>
        <v>1037</v>
      </c>
      <c r="E24" s="36">
        <f>1102*(100%-'Установка скидки'!$F$11)</f>
        <v>1102</v>
      </c>
      <c r="F24" s="36">
        <f>1476*(100%-'Установка скидки'!$F$11)</f>
        <v>1476</v>
      </c>
      <c r="G24" s="36">
        <f>1823*(100%-'Установка скидки'!$F$11)</f>
        <v>1823</v>
      </c>
      <c r="H24" s="36">
        <f>2071*(100%-'Установка скидки'!$F$11)</f>
        <v>2071</v>
      </c>
      <c r="I24" s="36">
        <f>2751*(100%-'Установка скидки'!$F$11)</f>
        <v>2751</v>
      </c>
    </row>
    <row r="25" spans="1:9" s="196" customFormat="1" ht="20.100000000000001" customHeight="1" x14ac:dyDescent="0.2">
      <c r="A25" s="169" t="s">
        <v>86</v>
      </c>
      <c r="B25" s="438"/>
      <c r="C25" s="438"/>
      <c r="D25" s="438"/>
      <c r="E25" s="438"/>
      <c r="F25" s="438"/>
      <c r="G25" s="438"/>
      <c r="H25" s="438"/>
      <c r="I25" s="438"/>
    </row>
    <row r="26" spans="1:9" s="17" customFormat="1" ht="15" customHeight="1" x14ac:dyDescent="0.2">
      <c r="A26" s="171" t="s">
        <v>137</v>
      </c>
      <c r="B26" s="440">
        <f>901*(100%-'Установка скидки'!$F$11)</f>
        <v>901</v>
      </c>
      <c r="C26" s="440">
        <f>1116*(100%-'Установка скидки'!$F$11)</f>
        <v>1116</v>
      </c>
      <c r="D26" s="440">
        <f>1197*(100%-'Установка скидки'!$F$11)</f>
        <v>1197</v>
      </c>
      <c r="E26" s="440">
        <f>1274*(100%-'Установка скидки'!$F$11)</f>
        <v>1274</v>
      </c>
      <c r="F26" s="440">
        <f>1419*(100%-'Установка скидки'!$F$11)</f>
        <v>1419</v>
      </c>
      <c r="G26" s="440">
        <f>1611*(100%-'Установка скидки'!$F$11)</f>
        <v>1611</v>
      </c>
      <c r="H26" s="440">
        <f>1722*(100%-'Установка скидки'!$F$11)</f>
        <v>1722</v>
      </c>
      <c r="I26" s="440">
        <f>1945*(100%-'Установка скидки'!$F$11)</f>
        <v>1945</v>
      </c>
    </row>
    <row r="27" spans="1:9" s="196" customFormat="1" ht="20.100000000000001" customHeight="1" x14ac:dyDescent="0.2">
      <c r="A27" s="195" t="s">
        <v>72</v>
      </c>
      <c r="B27" s="438"/>
      <c r="C27" s="438"/>
      <c r="D27" s="438"/>
      <c r="E27" s="438"/>
      <c r="F27" s="438"/>
      <c r="G27" s="438"/>
      <c r="H27" s="438"/>
      <c r="I27" s="438"/>
    </row>
    <row r="28" spans="1:9" ht="15" customHeight="1" x14ac:dyDescent="0.2">
      <c r="A28" s="172" t="s">
        <v>137</v>
      </c>
      <c r="B28" s="36">
        <f>958*(100%-'Установка скидки'!$F$11)</f>
        <v>958</v>
      </c>
      <c r="C28" s="36">
        <f>1203*(100%-'Установка скидки'!$F$11)</f>
        <v>1203</v>
      </c>
      <c r="D28" s="36">
        <f>1310*(100%-'Установка скидки'!$F$11)</f>
        <v>1310</v>
      </c>
      <c r="E28" s="36">
        <f>1417*(100%-'Установка скидки'!$F$11)</f>
        <v>1417</v>
      </c>
      <c r="F28" s="36">
        <f>1629*(100%-'Установка скидки'!$F$11)</f>
        <v>1629</v>
      </c>
      <c r="G28" s="36">
        <f>1944*(100%-'Установка скидки'!$F$11)</f>
        <v>1944</v>
      </c>
      <c r="H28" s="36">
        <f>2151*(100%-'Установка скидки'!$F$11)</f>
        <v>2151</v>
      </c>
      <c r="I28" s="36">
        <f>2664*(100%-'Установка скидки'!$F$11)</f>
        <v>2664</v>
      </c>
    </row>
    <row r="29" spans="1:9" ht="15" hidden="1" customHeight="1" x14ac:dyDescent="0.2">
      <c r="A29" s="173" t="s">
        <v>139</v>
      </c>
      <c r="B29" s="36" t="s">
        <v>0</v>
      </c>
      <c r="C29" s="36" t="s">
        <v>0</v>
      </c>
      <c r="D29" s="36" t="s">
        <v>0</v>
      </c>
      <c r="E29" s="36" t="s">
        <v>0</v>
      </c>
      <c r="F29" s="36" t="s">
        <v>0</v>
      </c>
      <c r="G29" s="36" t="s">
        <v>0</v>
      </c>
      <c r="H29" s="36" t="s">
        <v>0</v>
      </c>
      <c r="I29" s="447">
        <f>3909*(100%-'Установка скидки'!$F$11)</f>
        <v>3909</v>
      </c>
    </row>
    <row r="30" spans="1:9" s="196" customFormat="1" ht="20.100000000000001" customHeight="1" x14ac:dyDescent="0.2">
      <c r="A30" s="195" t="s">
        <v>73</v>
      </c>
      <c r="B30" s="438"/>
      <c r="C30" s="438"/>
      <c r="D30" s="438"/>
      <c r="E30" s="438"/>
      <c r="F30" s="438"/>
      <c r="G30" s="438"/>
      <c r="H30" s="438"/>
      <c r="I30" s="438"/>
    </row>
    <row r="31" spans="1:9" ht="15" customHeight="1" x14ac:dyDescent="0.2">
      <c r="A31" s="172" t="s">
        <v>137</v>
      </c>
      <c r="B31" s="36">
        <f>350*(100%-'Установка скидки'!$F$11)</f>
        <v>350</v>
      </c>
      <c r="C31" s="36">
        <f>430*(100%-'Установка скидки'!$F$11)</f>
        <v>430</v>
      </c>
      <c r="D31" s="36">
        <f>465*(100%-'Установка скидки'!$F$11)</f>
        <v>465</v>
      </c>
      <c r="E31" s="36">
        <f>500*(100%-'Установка скидки'!$F$11)</f>
        <v>500</v>
      </c>
      <c r="F31" s="36">
        <f>566*(100%-'Установка скидки'!$F$11)</f>
        <v>566</v>
      </c>
      <c r="G31" s="36">
        <f>661*(100%-'Установка скидки'!$F$11)</f>
        <v>661</v>
      </c>
      <c r="H31" s="36">
        <f>722*(100%-'Установка скидки'!$F$11)</f>
        <v>722</v>
      </c>
      <c r="I31" s="36">
        <f>860*(100%-'Установка скидки'!$F$11)</f>
        <v>860</v>
      </c>
    </row>
    <row r="32" spans="1:9" s="196" customFormat="1" ht="20.100000000000001" customHeight="1" x14ac:dyDescent="0.2">
      <c r="A32" s="195" t="s">
        <v>74</v>
      </c>
      <c r="B32" s="438"/>
      <c r="C32" s="438"/>
      <c r="D32" s="438"/>
      <c r="E32" s="438"/>
      <c r="F32" s="438"/>
      <c r="G32" s="438"/>
      <c r="H32" s="438"/>
      <c r="I32" s="438"/>
    </row>
    <row r="33" spans="1:9" ht="15" customHeight="1" x14ac:dyDescent="0.2">
      <c r="A33" s="172" t="s">
        <v>137</v>
      </c>
      <c r="B33" s="36">
        <f>554*(100%-'Установка скидки'!$F$11)</f>
        <v>554</v>
      </c>
      <c r="C33" s="36">
        <f>722*(100%-'Установка скидки'!$F$11)</f>
        <v>722</v>
      </c>
      <c r="D33" s="36">
        <f>783*(100%-'Установка скидки'!$F$11)</f>
        <v>783</v>
      </c>
      <c r="E33" s="36">
        <f>844*(100%-'Установка скидки'!$F$11)</f>
        <v>844</v>
      </c>
      <c r="F33" s="36">
        <f>962*(100%-'Установка скидки'!$F$11)</f>
        <v>962</v>
      </c>
      <c r="G33" s="36">
        <f>1133*(100%-'Установка скидки'!$F$11)</f>
        <v>1133</v>
      </c>
      <c r="H33" s="36">
        <f>1244*(100%-'Установка скидки'!$F$11)</f>
        <v>1244</v>
      </c>
      <c r="I33" s="36">
        <f>1508*(100%-'Установка скидки'!$F$11)</f>
        <v>1508</v>
      </c>
    </row>
    <row r="34" spans="1:9" s="196" customFormat="1" ht="20.100000000000001" customHeight="1" x14ac:dyDescent="0.2">
      <c r="A34" s="195" t="s">
        <v>75</v>
      </c>
      <c r="B34" s="438"/>
      <c r="C34" s="438"/>
      <c r="D34" s="438"/>
      <c r="E34" s="438"/>
      <c r="F34" s="438"/>
      <c r="G34" s="438"/>
      <c r="H34" s="438"/>
      <c r="I34" s="438"/>
    </row>
    <row r="35" spans="1:9" s="7" customFormat="1" ht="15" customHeight="1" x14ac:dyDescent="0.2">
      <c r="A35" s="170" t="s">
        <v>136</v>
      </c>
      <c r="B35" s="440">
        <f>726*(100%-'Установка скидки'!$F$11)</f>
        <v>726</v>
      </c>
      <c r="C35" s="440">
        <f>952*(100%-'Установка скидки'!$F$11)</f>
        <v>952</v>
      </c>
      <c r="D35" s="36" t="s">
        <v>0</v>
      </c>
      <c r="E35" s="36" t="s">
        <v>0</v>
      </c>
      <c r="F35" s="36" t="s">
        <v>0</v>
      </c>
      <c r="G35" s="36" t="s">
        <v>0</v>
      </c>
      <c r="H35" s="36" t="s">
        <v>0</v>
      </c>
      <c r="I35" s="36" t="s">
        <v>0</v>
      </c>
    </row>
    <row r="36" spans="1:9" ht="15" customHeight="1" x14ac:dyDescent="0.2">
      <c r="A36" s="172" t="s">
        <v>135</v>
      </c>
      <c r="B36" s="36" t="s">
        <v>0</v>
      </c>
      <c r="C36" s="36" t="s">
        <v>0</v>
      </c>
      <c r="D36" s="36">
        <f>1124*(100%-'Установка скидки'!$F$11)</f>
        <v>1124</v>
      </c>
      <c r="E36" s="36">
        <f>1226*(100%-'Установка скидки'!$F$11)</f>
        <v>1226</v>
      </c>
      <c r="F36" s="36">
        <f>1434*(100%-'Установка скидки'!$F$11)</f>
        <v>1434</v>
      </c>
      <c r="G36" s="36">
        <f>1754*(100%-'Установка скидки'!$F$11)</f>
        <v>1754</v>
      </c>
      <c r="H36" s="36">
        <f>1974*(100%-'Установка скидки'!$F$11)</f>
        <v>1974</v>
      </c>
      <c r="I36" s="36">
        <f>2544*(100%-'Установка скидки'!$F$11)</f>
        <v>2544</v>
      </c>
    </row>
    <row r="37" spans="1:9" s="183" customFormat="1" ht="20.100000000000001" customHeight="1" x14ac:dyDescent="0.2">
      <c r="A37" s="148" t="s">
        <v>38</v>
      </c>
      <c r="B37" s="446"/>
      <c r="C37" s="36"/>
      <c r="D37" s="205"/>
      <c r="E37" s="205"/>
      <c r="F37" s="205"/>
      <c r="G37" s="205"/>
      <c r="H37" s="205"/>
      <c r="I37" s="36"/>
    </row>
    <row r="38" spans="1:9" ht="15" customHeight="1" x14ac:dyDescent="0.2">
      <c r="A38" s="174" t="s">
        <v>136</v>
      </c>
      <c r="B38" s="108">
        <f>335*(100%-'Установка скидки'!$F$11)</f>
        <v>335</v>
      </c>
      <c r="C38" s="36">
        <f>381*(100%-'Установка скидки'!$F$11)</f>
        <v>381</v>
      </c>
      <c r="D38" s="205">
        <f>396*(100%-'Установка скидки'!$F$11)</f>
        <v>396</v>
      </c>
      <c r="E38" s="205">
        <f>412*(100%-'Установка скидки'!$F$11)</f>
        <v>412</v>
      </c>
      <c r="F38" s="205">
        <f>474*(100%-'Установка скидки'!$F$11)</f>
        <v>474</v>
      </c>
      <c r="G38" s="205">
        <f>544*(100%-'Установка скидки'!$F$11)</f>
        <v>544</v>
      </c>
      <c r="H38" s="205">
        <f>603*(100%-'Установка скидки'!$F$11)</f>
        <v>603</v>
      </c>
      <c r="I38" s="36">
        <f>779*(100%-'Установка скидки'!$F$11)</f>
        <v>779</v>
      </c>
    </row>
    <row r="39" spans="1:9" s="183" customFormat="1" ht="20.100000000000001" customHeight="1" x14ac:dyDescent="0.2">
      <c r="A39" s="148" t="s">
        <v>219</v>
      </c>
      <c r="B39" s="446"/>
      <c r="C39" s="36"/>
      <c r="D39" s="205"/>
      <c r="E39" s="205"/>
      <c r="F39" s="205"/>
      <c r="G39" s="205"/>
      <c r="H39" s="205"/>
      <c r="I39" s="36"/>
    </row>
    <row r="40" spans="1:9" ht="15" customHeight="1" x14ac:dyDescent="0.2">
      <c r="A40" s="174" t="s">
        <v>137</v>
      </c>
      <c r="B40" s="108">
        <f>564*(100%-'Установка скидки'!$F$11)</f>
        <v>564</v>
      </c>
      <c r="C40" s="36">
        <f>610*(100%-'Установка скидки'!$F$11)</f>
        <v>610</v>
      </c>
      <c r="D40" s="205">
        <f>640*(100%-'Установка скидки'!$F$11)</f>
        <v>640</v>
      </c>
      <c r="E40" s="205">
        <f>660*(100%-'Установка скидки'!$F$11)</f>
        <v>660</v>
      </c>
      <c r="F40" s="205">
        <f>721*(100%-'Установка скидки'!$F$11)</f>
        <v>721</v>
      </c>
      <c r="G40" s="205">
        <f>816*(100%-'Установка скидки'!$F$11)</f>
        <v>816</v>
      </c>
      <c r="H40" s="205">
        <f>904*(100%-'Установка скидки'!$F$11)</f>
        <v>904</v>
      </c>
      <c r="I40" s="36">
        <f>1091*(100%-'Установка скидки'!$F$11)</f>
        <v>1091</v>
      </c>
    </row>
    <row r="42" spans="1:9" ht="13.5" customHeight="1" x14ac:dyDescent="0.2"/>
    <row r="46" spans="1:9" ht="15" x14ac:dyDescent="0.2">
      <c r="A46" s="714" t="s">
        <v>138</v>
      </c>
      <c r="B46" s="759" t="s">
        <v>133</v>
      </c>
      <c r="C46" s="759"/>
      <c r="D46" s="759"/>
      <c r="E46" s="759"/>
      <c r="F46" s="759"/>
      <c r="G46" s="759"/>
      <c r="H46" s="765"/>
      <c r="I46" s="765"/>
    </row>
    <row r="47" spans="1:9" ht="33" customHeight="1" x14ac:dyDescent="0.2">
      <c r="A47" s="758"/>
      <c r="B47" s="151" t="s">
        <v>1</v>
      </c>
      <c r="C47" s="151" t="s">
        <v>2</v>
      </c>
      <c r="D47" s="151" t="s">
        <v>4</v>
      </c>
      <c r="E47" s="151" t="s">
        <v>5</v>
      </c>
      <c r="F47" s="151" t="s">
        <v>6</v>
      </c>
      <c r="G47" s="151" t="s">
        <v>7</v>
      </c>
      <c r="H47" s="151" t="s">
        <v>8</v>
      </c>
      <c r="I47" s="151" t="s">
        <v>13</v>
      </c>
    </row>
    <row r="48" spans="1:9" s="183" customFormat="1" ht="20.100000000000001" customHeight="1" x14ac:dyDescent="0.2">
      <c r="A48" s="197" t="s">
        <v>104</v>
      </c>
      <c r="B48" s="93"/>
      <c r="C48" s="94"/>
      <c r="D48" s="94"/>
      <c r="E48" s="94"/>
      <c r="F48" s="94"/>
      <c r="G48" s="94"/>
      <c r="H48" s="94"/>
      <c r="I48" s="94"/>
    </row>
    <row r="49" spans="1:9" ht="15" x14ac:dyDescent="0.2">
      <c r="A49" s="168" t="s">
        <v>206</v>
      </c>
      <c r="B49" s="95">
        <f>1186*(100%-'Установка скидки'!$F$11)</f>
        <v>1186</v>
      </c>
      <c r="C49" s="96">
        <f>1596*(100%-'Установка скидки'!$F$11)</f>
        <v>1596</v>
      </c>
      <c r="D49" s="96">
        <f>1656*(100%-'Установка скидки'!$F$11)</f>
        <v>1656</v>
      </c>
      <c r="E49" s="96">
        <f>1776*(100%-'Установка скидки'!$F$11)</f>
        <v>1776</v>
      </c>
      <c r="F49" s="96">
        <f>2022*(100%-'Установка скидки'!$F$11)</f>
        <v>2022</v>
      </c>
      <c r="G49" s="96">
        <f>2399*(100%-'Установка скидки'!$F$11)</f>
        <v>2399</v>
      </c>
      <c r="H49" s="96">
        <f>2658*(100%-'Установка скидки'!$F$11)</f>
        <v>2658</v>
      </c>
      <c r="I49" s="96">
        <f>3328*(100%-'Установка скидки'!$F$11)</f>
        <v>3328</v>
      </c>
    </row>
    <row r="50" spans="1:9" s="183" customFormat="1" ht="20.100000000000001" customHeight="1" x14ac:dyDescent="0.2">
      <c r="A50" s="197" t="s">
        <v>97</v>
      </c>
      <c r="B50" s="97"/>
      <c r="C50" s="98"/>
      <c r="D50" s="98"/>
      <c r="E50" s="98"/>
      <c r="F50" s="98"/>
      <c r="G50" s="98"/>
      <c r="H50" s="98"/>
      <c r="I50" s="98"/>
    </row>
    <row r="51" spans="1:9" ht="15" x14ac:dyDescent="0.2">
      <c r="A51" s="168" t="s">
        <v>206</v>
      </c>
      <c r="B51" s="95">
        <f>1730*(100%-'Установка скидки'!$F$11)</f>
        <v>1730</v>
      </c>
      <c r="C51" s="96">
        <f>2290*(100%-'Установка скидки'!$F$11)</f>
        <v>2290</v>
      </c>
      <c r="D51" s="96">
        <f>2371*(100%-'Установка скидки'!$F$11)</f>
        <v>2371</v>
      </c>
      <c r="E51" s="96">
        <f>2532*(100%-'Установка скидки'!$F$11)</f>
        <v>2532</v>
      </c>
      <c r="F51" s="96">
        <f>2856*(100%-'Установка скидки'!$F$11)</f>
        <v>2856</v>
      </c>
      <c r="G51" s="96">
        <f>3344*(100%-'Установка скидки'!$F$11)</f>
        <v>3344</v>
      </c>
      <c r="H51" s="96">
        <f>3672*(100%-'Установка скидки'!$F$11)</f>
        <v>3672</v>
      </c>
      <c r="I51" s="96">
        <f>4497*(100%-'Установка скидки'!$F$11)</f>
        <v>4497</v>
      </c>
    </row>
    <row r="52" spans="1:9" s="183" customFormat="1" ht="20.100000000000001" customHeight="1" x14ac:dyDescent="0.2">
      <c r="A52" s="197" t="s">
        <v>98</v>
      </c>
      <c r="B52" s="97"/>
      <c r="C52" s="98"/>
      <c r="D52" s="98"/>
      <c r="E52" s="98"/>
      <c r="F52" s="98"/>
      <c r="G52" s="98"/>
      <c r="H52" s="98"/>
      <c r="I52" s="98"/>
    </row>
    <row r="53" spans="1:9" ht="15" x14ac:dyDescent="0.2">
      <c r="A53" s="168" t="s">
        <v>206</v>
      </c>
      <c r="B53" s="95">
        <f>2159*(100%-'Установка скидки'!$F$11)</f>
        <v>2159</v>
      </c>
      <c r="C53" s="96">
        <f>2905*(100%-'Установка скидки'!$F$11)</f>
        <v>2905</v>
      </c>
      <c r="D53" s="96">
        <f>3014*(100%-'Установка скидки'!$F$11)</f>
        <v>3014</v>
      </c>
      <c r="E53" s="96">
        <f>3233*(100%-'Установка скидки'!$F$11)</f>
        <v>3233</v>
      </c>
      <c r="F53" s="96">
        <f>3680*(100%-'Установка скидки'!$F$11)</f>
        <v>3680</v>
      </c>
      <c r="G53" s="96">
        <f>4368*(100%-'Установка скидки'!$F$11)</f>
        <v>4368</v>
      </c>
      <c r="H53" s="96">
        <f>4838*(100%-'Установка скидки'!$F$11)</f>
        <v>4838</v>
      </c>
      <c r="I53" s="96">
        <f>6058*(100%-'Установка скидки'!$F$11)</f>
        <v>6058</v>
      </c>
    </row>
    <row r="54" spans="1:9" s="183" customFormat="1" ht="20.100000000000001" customHeight="1" x14ac:dyDescent="0.2">
      <c r="A54" s="197" t="s">
        <v>89</v>
      </c>
      <c r="B54" s="97"/>
      <c r="C54" s="98"/>
      <c r="D54" s="98"/>
      <c r="E54" s="98"/>
      <c r="F54" s="98"/>
      <c r="G54" s="98"/>
      <c r="H54" s="98"/>
      <c r="I54" s="98"/>
    </row>
    <row r="55" spans="1:9" ht="15" x14ac:dyDescent="0.2">
      <c r="A55" s="168" t="s">
        <v>206</v>
      </c>
      <c r="B55" s="95">
        <f>1136*(100%-'Установка скидки'!$F$11)</f>
        <v>1136</v>
      </c>
      <c r="C55" s="95">
        <f>1492*(100%-'Установка скидки'!$F$11)</f>
        <v>1492</v>
      </c>
      <c r="D55" s="95">
        <f>1543*(100%-'Установка скидки'!$F$11)</f>
        <v>1543</v>
      </c>
      <c r="E55" s="95">
        <f>1644*(100%-'Установка скидки'!$F$11)</f>
        <v>1644</v>
      </c>
      <c r="F55" s="95">
        <f>1845*(100%-'Установка скидки'!$F$11)</f>
        <v>1845</v>
      </c>
      <c r="G55" s="95">
        <f>2145*(100%-'Установка скидки'!$F$11)</f>
        <v>2145</v>
      </c>
      <c r="H55" s="95">
        <f>2344*(100%-'Установка скидки'!$F$11)</f>
        <v>2344</v>
      </c>
      <c r="I55" s="95">
        <f>3150*(100%-'Установка скидки'!$F$11)</f>
        <v>3150</v>
      </c>
    </row>
    <row r="56" spans="1:9" s="183" customFormat="1" ht="20.100000000000001" customHeight="1" x14ac:dyDescent="0.2">
      <c r="A56" s="197" t="s">
        <v>105</v>
      </c>
      <c r="B56" s="97"/>
      <c r="C56" s="98"/>
      <c r="D56" s="98"/>
      <c r="E56" s="98"/>
      <c r="F56" s="98"/>
      <c r="G56" s="98"/>
      <c r="H56" s="98"/>
      <c r="I56" s="98"/>
    </row>
    <row r="57" spans="1:9" ht="15" x14ac:dyDescent="0.2">
      <c r="A57" s="168" t="s">
        <v>206</v>
      </c>
      <c r="B57" s="95">
        <f>1666*(100%-'Установка скидки'!$F$11)</f>
        <v>1666</v>
      </c>
      <c r="C57" s="95">
        <f>2230*(100%-'Установка скидки'!$F$11)</f>
        <v>2230</v>
      </c>
      <c r="D57" s="95">
        <f>2312*(100%-'Установка скидки'!$F$11)</f>
        <v>2312</v>
      </c>
      <c r="E57" s="95">
        <f>2477*(100%-'Установка скидки'!$F$11)</f>
        <v>2477</v>
      </c>
      <c r="F57" s="95">
        <f>2811*(100%-'Установка скидки'!$F$11)</f>
        <v>2811</v>
      </c>
      <c r="G57" s="95">
        <f>3322*(100%-'Установка скидки'!$F$11)</f>
        <v>3322</v>
      </c>
      <c r="H57" s="95">
        <f>3670*(100%-'Установка скидки'!$F$11)</f>
        <v>3670</v>
      </c>
      <c r="I57" s="95">
        <f>4564*(100%-'Установка скидки'!$F$11)</f>
        <v>4564</v>
      </c>
    </row>
    <row r="58" spans="1:9" s="183" customFormat="1" ht="20.100000000000001" customHeight="1" x14ac:dyDescent="0.2">
      <c r="A58" s="197" t="s">
        <v>90</v>
      </c>
      <c r="B58" s="97"/>
      <c r="C58" s="98"/>
      <c r="D58" s="98"/>
      <c r="E58" s="98"/>
      <c r="F58" s="98"/>
      <c r="G58" s="98"/>
      <c r="H58" s="98"/>
      <c r="I58" s="98"/>
    </row>
    <row r="59" spans="1:9" ht="15" x14ac:dyDescent="0.2">
      <c r="A59" s="168" t="s">
        <v>206</v>
      </c>
      <c r="B59" s="95">
        <f>3207*(100%-'Установка скидки'!$F$11)</f>
        <v>3207</v>
      </c>
      <c r="C59" s="96">
        <f>4443*(100%-'Установка скидки'!$F$11)</f>
        <v>4443</v>
      </c>
      <c r="D59" s="96">
        <f>4628*(100%-'Установка скидки'!$F$11)</f>
        <v>4628</v>
      </c>
      <c r="E59" s="96">
        <f>5006*(100%-'Установка скидки'!$F$11)</f>
        <v>5006</v>
      </c>
      <c r="F59" s="96">
        <f>5787*(100%-'Установка скидки'!$F$11)</f>
        <v>5787</v>
      </c>
      <c r="G59" s="96">
        <f>7026*(100%-'Установка скидки'!$F$11)</f>
        <v>7026</v>
      </c>
      <c r="H59" s="96">
        <f>7897*(100%-'Установка скидки'!$F$11)</f>
        <v>7897</v>
      </c>
      <c r="I59" s="96">
        <f>10237*(100%-'Установка скидки'!$F$11)</f>
        <v>10237</v>
      </c>
    </row>
    <row r="60" spans="1:9" s="183" customFormat="1" ht="20.100000000000001" customHeight="1" x14ac:dyDescent="0.2">
      <c r="A60" s="197" t="s">
        <v>91</v>
      </c>
      <c r="B60" s="97"/>
      <c r="C60" s="98"/>
      <c r="D60" s="98"/>
      <c r="E60" s="98"/>
      <c r="F60" s="98"/>
      <c r="G60" s="98"/>
      <c r="H60" s="98"/>
      <c r="I60" s="98"/>
    </row>
    <row r="61" spans="1:9" ht="15" x14ac:dyDescent="0.2">
      <c r="A61" s="168" t="s">
        <v>206</v>
      </c>
      <c r="B61" s="95">
        <f>2525*(100%-'Установка скидки'!$F$11)</f>
        <v>2525</v>
      </c>
      <c r="C61" s="96">
        <f>3468*(100%-'Установка скидки'!$F$11)</f>
        <v>3468</v>
      </c>
      <c r="D61" s="96">
        <f>3609*(100%-'Установка скидки'!$F$11)</f>
        <v>3609</v>
      </c>
      <c r="E61" s="96">
        <f>3894*(100%-'Установка скидки'!$F$11)</f>
        <v>3894</v>
      </c>
      <c r="F61" s="96">
        <f>4482*(100%-'Установка скидки'!$F$11)</f>
        <v>4482</v>
      </c>
      <c r="G61" s="96">
        <f>5407*(100%-'Установка скидки'!$F$11)</f>
        <v>5407</v>
      </c>
      <c r="H61" s="96">
        <f>6053*(100%-'Установка скидки'!$F$11)</f>
        <v>6053</v>
      </c>
      <c r="I61" s="96">
        <f>7772*(100%-'Установка скидки'!$F$11)</f>
        <v>7772</v>
      </c>
    </row>
    <row r="62" spans="1:9" s="196" customFormat="1" ht="20.100000000000001" customHeight="1" x14ac:dyDescent="0.2">
      <c r="A62" s="197" t="s">
        <v>100</v>
      </c>
      <c r="B62" s="97"/>
      <c r="C62" s="98"/>
      <c r="D62" s="98"/>
      <c r="E62" s="98"/>
      <c r="F62" s="98"/>
      <c r="G62" s="98"/>
      <c r="H62" s="98"/>
      <c r="I62" s="98"/>
    </row>
    <row r="63" spans="1:9" s="7" customFormat="1" ht="15" x14ac:dyDescent="0.2">
      <c r="A63" s="168" t="s">
        <v>206</v>
      </c>
      <c r="B63" s="97">
        <f>2525*(100%-'Установка скидки'!$F$11)</f>
        <v>2525</v>
      </c>
      <c r="C63" s="98">
        <f>3289*(100%-'Установка скидки'!$F$11)</f>
        <v>3289</v>
      </c>
      <c r="D63" s="98">
        <f>3397*(100%-'Установка скидки'!$F$11)</f>
        <v>3397</v>
      </c>
      <c r="E63" s="98">
        <f>3611*(100%-'Установка скидки'!$F$11)</f>
        <v>3611</v>
      </c>
      <c r="F63" s="98">
        <f>4033*(100%-'Установка скидки'!$F$11)</f>
        <v>4033</v>
      </c>
      <c r="G63" s="98">
        <f>4655*(100%-'Установка скидки'!$F$11)</f>
        <v>4655</v>
      </c>
      <c r="H63" s="98">
        <f>5061*(100%-'Установка скидки'!$F$11)</f>
        <v>5061</v>
      </c>
      <c r="I63" s="98">
        <f>6044*(100%-'Установка скидки'!$F$11)</f>
        <v>6044</v>
      </c>
    </row>
    <row r="64" spans="1:9" s="183" customFormat="1" ht="20.100000000000001" customHeight="1" x14ac:dyDescent="0.2">
      <c r="A64" s="197" t="s">
        <v>106</v>
      </c>
      <c r="B64" s="97"/>
      <c r="C64" s="98"/>
      <c r="D64" s="98"/>
      <c r="E64" s="98"/>
      <c r="F64" s="98"/>
      <c r="G64" s="98"/>
      <c r="H64" s="98"/>
      <c r="I64" s="98"/>
    </row>
    <row r="65" spans="1:9" ht="15" x14ac:dyDescent="0.2">
      <c r="A65" s="168" t="s">
        <v>206</v>
      </c>
      <c r="B65" s="95">
        <f>2525*(100%-'Установка скидки'!$F$11)</f>
        <v>2525</v>
      </c>
      <c r="C65" s="96">
        <f>3353*(100%-'Установка скидки'!$F$11)</f>
        <v>3353</v>
      </c>
      <c r="D65" s="96">
        <f>3472*(100%-'Установка скидки'!$F$11)</f>
        <v>3472</v>
      </c>
      <c r="E65" s="96">
        <f>3711*(100%-'Установка скидки'!$F$11)</f>
        <v>3711</v>
      </c>
      <c r="F65" s="96">
        <f>4192*(100%-'Установка скидки'!$F$11)</f>
        <v>4192</v>
      </c>
      <c r="G65" s="96">
        <f>4921*(100%-'Установка скидки'!$F$11)</f>
        <v>4921</v>
      </c>
      <c r="H65" s="96">
        <f>5412*(100%-'Установка скидки'!$F$11)</f>
        <v>5412</v>
      </c>
      <c r="I65" s="96">
        <f>6656*(100%-'Установка скидки'!$F$11)</f>
        <v>6656</v>
      </c>
    </row>
    <row r="66" spans="1:9" s="183" customFormat="1" ht="20.100000000000001" customHeight="1" x14ac:dyDescent="0.2">
      <c r="A66" s="197" t="s">
        <v>107</v>
      </c>
      <c r="B66" s="97"/>
      <c r="C66" s="98"/>
      <c r="D66" s="98"/>
      <c r="E66" s="98"/>
      <c r="F66" s="98"/>
      <c r="G66" s="98"/>
      <c r="H66" s="98"/>
      <c r="I66" s="98"/>
    </row>
    <row r="67" spans="1:9" ht="15" x14ac:dyDescent="0.2">
      <c r="A67" s="168" t="s">
        <v>206</v>
      </c>
      <c r="B67" s="99">
        <f>1515*(100%-'Установка скидки'!$F$11)</f>
        <v>1515</v>
      </c>
      <c r="C67" s="100">
        <f>2001*(100%-'Установка скидки'!$F$11)</f>
        <v>2001</v>
      </c>
      <c r="D67" s="100">
        <f>2070*(100%-'Установка скидки'!$F$11)</f>
        <v>2070</v>
      </c>
      <c r="E67" s="100">
        <f>2209*(100%-'Установка скидки'!$F$11)</f>
        <v>2209</v>
      </c>
      <c r="F67" s="100">
        <f>2488*(100%-'Установка скидки'!$F$11)</f>
        <v>2488</v>
      </c>
      <c r="G67" s="100">
        <f>2906*(100%-'Установка скидки'!$F$11)</f>
        <v>2906</v>
      </c>
      <c r="H67" s="100">
        <f>3186*(100%-'Установка скидки'!$F$11)</f>
        <v>3186</v>
      </c>
      <c r="I67" s="100">
        <f>3887*(100%-'Установка скидки'!$F$11)</f>
        <v>3887</v>
      </c>
    </row>
    <row r="68" spans="1:9" s="183" customFormat="1" ht="20.100000000000001" customHeight="1" x14ac:dyDescent="0.2">
      <c r="A68" s="197" t="s">
        <v>142</v>
      </c>
      <c r="B68" s="97"/>
      <c r="C68" s="98"/>
      <c r="D68" s="98"/>
      <c r="E68" s="98"/>
      <c r="F68" s="98"/>
      <c r="G68" s="98"/>
      <c r="H68" s="98"/>
      <c r="I68" s="98"/>
    </row>
    <row r="69" spans="1:9" ht="15" x14ac:dyDescent="0.2">
      <c r="A69" s="168" t="s">
        <v>209</v>
      </c>
      <c r="B69" s="99">
        <f>1124*(100%-'Установка скидки'!$F$11)</f>
        <v>1124</v>
      </c>
      <c r="C69" s="100">
        <f>1477*(100%-'Установка скидки'!$F$11)</f>
        <v>1477</v>
      </c>
      <c r="D69" s="100">
        <f>1527*(100%-'Установка скидки'!$F$11)</f>
        <v>1527</v>
      </c>
      <c r="E69" s="100">
        <f>1627*(100%-'Установка скидки'!$F$11)</f>
        <v>1627</v>
      </c>
      <c r="F69" s="100">
        <f>1828*(100%-'Установка скидки'!$F$11)</f>
        <v>1828</v>
      </c>
      <c r="G69" s="100">
        <f>2126*(100%-'Установка скидки'!$F$11)</f>
        <v>2126</v>
      </c>
      <c r="H69" s="100">
        <f>2324*(100%-'Установка скидки'!$F$11)</f>
        <v>2324</v>
      </c>
      <c r="I69" s="100">
        <f>2816*(100%-'Установка скидки'!$F$11)</f>
        <v>2816</v>
      </c>
    </row>
    <row r="70" spans="1:9" ht="15" x14ac:dyDescent="0.2">
      <c r="A70" s="600" t="s">
        <v>195</v>
      </c>
      <c r="B70" s="99"/>
      <c r="C70" s="100"/>
      <c r="D70" s="100"/>
      <c r="E70" s="100"/>
      <c r="F70" s="100"/>
      <c r="G70" s="100"/>
      <c r="H70" s="100"/>
      <c r="I70" s="100"/>
    </row>
    <row r="71" spans="1:9" ht="15" x14ac:dyDescent="0.2">
      <c r="A71" s="168" t="s">
        <v>209</v>
      </c>
      <c r="B71" s="99" t="s">
        <v>0</v>
      </c>
      <c r="C71" s="100" t="s">
        <v>0</v>
      </c>
      <c r="D71" s="100">
        <f>5500*(100%-'Установка скидки'!$F$11)</f>
        <v>5500</v>
      </c>
      <c r="E71" s="100" t="s">
        <v>0</v>
      </c>
      <c r="F71" s="100">
        <f>7000*(100%-'Установка скидки'!$F$11)</f>
        <v>7000</v>
      </c>
      <c r="G71" s="100" t="s">
        <v>0</v>
      </c>
      <c r="H71" s="100">
        <f>8600*(100%-'Установка скидки'!$F$11)</f>
        <v>8600</v>
      </c>
      <c r="I71" s="100" t="s">
        <v>0</v>
      </c>
    </row>
    <row r="72" spans="1:9" s="183" customFormat="1" ht="31.5" customHeight="1" x14ac:dyDescent="0.2">
      <c r="A72" s="144" t="s">
        <v>134</v>
      </c>
      <c r="B72" s="101"/>
      <c r="C72" s="96"/>
      <c r="D72" s="96"/>
      <c r="E72" s="96"/>
      <c r="F72" s="96"/>
      <c r="G72" s="96"/>
      <c r="H72" s="96"/>
      <c r="I72" s="98"/>
    </row>
    <row r="73" spans="1:9" ht="15" x14ac:dyDescent="0.2">
      <c r="A73" s="167" t="s">
        <v>136</v>
      </c>
      <c r="B73" s="500">
        <f>424*(100%-'Установка скидки'!$F$11)</f>
        <v>424</v>
      </c>
      <c r="C73" s="96">
        <f>544*(100%-'Установка скидки'!$F$11)</f>
        <v>544</v>
      </c>
      <c r="D73" s="96">
        <f>544*(100%-'Установка скидки'!$F$11)</f>
        <v>544</v>
      </c>
      <c r="E73" s="96">
        <f>556*(100%-'Установка скидки'!$F$11)</f>
        <v>556</v>
      </c>
      <c r="F73" s="96">
        <f>628*(100%-'Установка скидки'!$F$11)</f>
        <v>628</v>
      </c>
      <c r="G73" s="96">
        <f>770*(100%-'Установка скидки'!$F$11)</f>
        <v>770</v>
      </c>
      <c r="H73" s="96">
        <f>843*(100%-'Установка скидки'!$F$11)</f>
        <v>843</v>
      </c>
      <c r="I73" s="98">
        <f>1095*(100%-'Установка скидки'!$F$11)</f>
        <v>1095</v>
      </c>
    </row>
    <row r="74" spans="1:9" s="183" customFormat="1" ht="20.100000000000001" customHeight="1" x14ac:dyDescent="0.2">
      <c r="A74" s="144" t="s">
        <v>220</v>
      </c>
      <c r="B74" s="101"/>
      <c r="C74" s="96"/>
      <c r="D74" s="96"/>
      <c r="E74" s="96"/>
      <c r="F74" s="96"/>
      <c r="G74" s="96"/>
      <c r="H74" s="96"/>
      <c r="I74" s="98"/>
    </row>
    <row r="75" spans="1:9" ht="15" x14ac:dyDescent="0.2">
      <c r="A75" s="167" t="s">
        <v>137</v>
      </c>
      <c r="B75" s="101">
        <f>672*(100%-'Установка скидки'!$F$11)</f>
        <v>672</v>
      </c>
      <c r="C75" s="96">
        <f>816*(100%-'Установка скидки'!$F$11)</f>
        <v>816</v>
      </c>
      <c r="D75" s="96">
        <f>816*(100%-'Установка скидки'!$F$11)</f>
        <v>816</v>
      </c>
      <c r="E75" s="96">
        <f>828*(100%-'Установка скидки'!$F$11)</f>
        <v>828</v>
      </c>
      <c r="F75" s="96">
        <f>904*(100%-'Установка скидки'!$F$11)</f>
        <v>904</v>
      </c>
      <c r="G75" s="96">
        <f>998*(100%-'Установка скидки'!$F$11)</f>
        <v>998</v>
      </c>
      <c r="H75" s="96">
        <f>1160*(100%-'Установка скидки'!$F$11)</f>
        <v>1160</v>
      </c>
      <c r="I75" s="98">
        <f>1360*(100%-'Установка скидки'!$F$11)</f>
        <v>1360</v>
      </c>
    </row>
    <row r="76" spans="1:9" ht="9.75" customHeight="1" x14ac:dyDescent="0.2">
      <c r="A76" s="23"/>
      <c r="B76" s="102"/>
      <c r="C76" s="102"/>
      <c r="D76" s="102"/>
      <c r="E76" s="102"/>
      <c r="F76" s="102"/>
      <c r="G76" s="102"/>
      <c r="H76" s="102"/>
      <c r="I76" s="102"/>
    </row>
    <row r="77" spans="1:9" x14ac:dyDescent="0.2">
      <c r="A77" s="15" t="s">
        <v>23</v>
      </c>
      <c r="I77" s="103"/>
    </row>
    <row r="78" spans="1:9" x14ac:dyDescent="0.2">
      <c r="A78" s="533"/>
      <c r="B78" s="534"/>
      <c r="C78" s="534"/>
      <c r="D78" s="534"/>
      <c r="E78" s="534"/>
      <c r="F78" s="104"/>
      <c r="G78" s="104"/>
      <c r="H78" s="104"/>
      <c r="I78" s="104"/>
    </row>
    <row r="79" spans="1:9" x14ac:dyDescent="0.2">
      <c r="A79" s="64" t="s">
        <v>16</v>
      </c>
      <c r="B79" s="105"/>
      <c r="C79" s="105"/>
      <c r="D79" s="105"/>
      <c r="E79" s="105"/>
      <c r="F79" s="105"/>
      <c r="G79" s="105"/>
      <c r="H79" s="105"/>
      <c r="I79" s="105"/>
    </row>
    <row r="80" spans="1:9" x14ac:dyDescent="0.2">
      <c r="A80" s="64" t="s">
        <v>18</v>
      </c>
      <c r="B80" s="105"/>
      <c r="C80" s="105"/>
      <c r="D80" s="105"/>
      <c r="E80" s="105"/>
      <c r="F80" s="105"/>
      <c r="G80" s="105"/>
      <c r="H80" s="105"/>
      <c r="I80" s="105"/>
    </row>
    <row r="81" spans="1:9" x14ac:dyDescent="0.2">
      <c r="A81" s="64" t="s">
        <v>19</v>
      </c>
      <c r="B81" s="105"/>
      <c r="C81" s="105"/>
      <c r="D81" s="105"/>
      <c r="E81" s="105"/>
      <c r="F81" s="105"/>
      <c r="G81" s="105"/>
      <c r="H81" s="105"/>
      <c r="I81" s="105"/>
    </row>
    <row r="82" spans="1:9" x14ac:dyDescent="0.2">
      <c r="A82" s="64" t="s">
        <v>22</v>
      </c>
      <c r="B82" s="105"/>
      <c r="C82" s="105"/>
      <c r="D82" s="105"/>
      <c r="E82" s="105"/>
      <c r="F82" s="105"/>
      <c r="G82" s="105"/>
      <c r="H82" s="105"/>
      <c r="I82" s="105"/>
    </row>
    <row r="83" spans="1:9" x14ac:dyDescent="0.2">
      <c r="A83" s="761" t="s">
        <v>21</v>
      </c>
      <c r="B83" s="761"/>
      <c r="C83" s="761"/>
      <c r="D83" s="761"/>
      <c r="E83" s="761"/>
      <c r="F83" s="761"/>
      <c r="G83" s="761"/>
      <c r="H83" s="761"/>
      <c r="I83" s="761"/>
    </row>
    <row r="84" spans="1:9" ht="13.5" customHeight="1" x14ac:dyDescent="0.2">
      <c r="A84" s="762" t="s">
        <v>144</v>
      </c>
      <c r="B84" s="763"/>
      <c r="C84" s="763"/>
      <c r="D84" s="763"/>
      <c r="E84" s="763"/>
      <c r="F84" s="763"/>
      <c r="G84" s="763"/>
      <c r="H84" s="763"/>
      <c r="I84" s="763"/>
    </row>
    <row r="85" spans="1:9" x14ac:dyDescent="0.2">
      <c r="A85" s="763"/>
      <c r="B85" s="763"/>
      <c r="C85" s="763"/>
      <c r="D85" s="763"/>
      <c r="E85" s="763"/>
      <c r="F85" s="763"/>
      <c r="G85" s="763"/>
      <c r="H85" s="763"/>
      <c r="I85" s="763"/>
    </row>
    <row r="86" spans="1:9" ht="15.75" customHeight="1" x14ac:dyDescent="0.2">
      <c r="A86" s="763"/>
      <c r="B86" s="763"/>
      <c r="C86" s="763"/>
      <c r="D86" s="763"/>
      <c r="E86" s="763"/>
      <c r="F86" s="763"/>
      <c r="G86" s="763"/>
      <c r="H86" s="763"/>
      <c r="I86" s="763"/>
    </row>
    <row r="87" spans="1:9" x14ac:dyDescent="0.2">
      <c r="A87" s="69"/>
      <c r="B87" s="92"/>
      <c r="C87" s="92"/>
      <c r="D87" s="92"/>
      <c r="G87" s="91"/>
      <c r="H87"/>
      <c r="I87"/>
    </row>
    <row r="88" spans="1:9" x14ac:dyDescent="0.2">
      <c r="A88" s="69"/>
      <c r="B88" s="92"/>
      <c r="C88" s="92"/>
      <c r="D88" s="92"/>
      <c r="G88" s="91"/>
      <c r="H88"/>
      <c r="I88"/>
    </row>
    <row r="89" spans="1:9" x14ac:dyDescent="0.2">
      <c r="A89" s="69"/>
      <c r="B89" s="92"/>
      <c r="C89" s="92"/>
      <c r="D89" s="92"/>
      <c r="G89" s="91"/>
      <c r="H89"/>
      <c r="I89"/>
    </row>
    <row r="90" spans="1:9" x14ac:dyDescent="0.2">
      <c r="A90" s="69"/>
      <c r="B90" s="92"/>
      <c r="C90" s="92"/>
      <c r="D90" s="92"/>
      <c r="G90" s="91"/>
      <c r="H90"/>
      <c r="I90"/>
    </row>
    <row r="91" spans="1:9" x14ac:dyDescent="0.2">
      <c r="A91" s="69"/>
      <c r="B91" s="92"/>
      <c r="C91" s="92"/>
      <c r="D91" s="92"/>
      <c r="G91" s="91"/>
      <c r="H91"/>
      <c r="I91"/>
    </row>
    <row r="92" spans="1:9" x14ac:dyDescent="0.2">
      <c r="A92" s="69"/>
      <c r="B92" s="92"/>
      <c r="C92" s="92"/>
      <c r="D92" s="92"/>
      <c r="G92" s="91"/>
      <c r="H92"/>
      <c r="I92"/>
    </row>
  </sheetData>
  <protectedRanges>
    <protectedRange sqref="B1 C1:K8 B3:B8 I9:K9" name="Диапазон1_1_2_1_1"/>
    <protectedRange sqref="A79:I84 B78:I78" name="Диапазон1_18_1_1"/>
    <protectedRange sqref="B9:H9" name="Диапазон1_1_2_1_1_1"/>
    <protectedRange sqref="A78" name="Диапазон1_18_1_1_1"/>
    <protectedRange sqref="A21" name="Диапазон1_2_2_1_2_3"/>
    <protectedRange sqref="A23" name="Диапазон1_2_2_1_2_1_2"/>
    <protectedRange sqref="A27 A32" name="Диапазон1_2_2_1_4_3"/>
    <protectedRange sqref="A30" name="Диапазон1_2_2_1_4_1_2"/>
    <protectedRange sqref="A34" name="Диапазон1_2_2_1_5_2"/>
    <protectedRange sqref="K11:P16" name="Диапазон1_1_2_1_1_2"/>
    <protectedRange sqref="A9:A10" name="Диапазон1_2_2_1_9"/>
    <protectedRange sqref="A46:A47" name="Диапазон1_2_2_1_12"/>
    <protectedRange sqref="A70" name="Диапазон1_8"/>
  </protectedRanges>
  <mergeCells count="9">
    <mergeCell ref="B1:H6"/>
    <mergeCell ref="A83:I83"/>
    <mergeCell ref="A84:I86"/>
    <mergeCell ref="K11:P14"/>
    <mergeCell ref="K15:P15"/>
    <mergeCell ref="A9:A10"/>
    <mergeCell ref="B9:I9"/>
    <mergeCell ref="A46:A47"/>
    <mergeCell ref="B46:I46"/>
  </mergeCells>
  <phoneticPr fontId="15" type="noConversion"/>
  <pageMargins left="0.23622047244094491" right="0.19685039370078741" top="0.15748031496062992" bottom="0.15748031496062992" header="0.31496062992125984" footer="0.31496062992125984"/>
  <pageSetup paperSize="9" scale="48" orientation="portrait" r:id="rId1"/>
  <headerFooter alignWithMargins="0"/>
  <rowBreaks count="1" manualBreakCount="1">
    <brk id="4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showGridLines="0" zoomScale="85" zoomScaleNormal="85" workbookViewId="0">
      <selection activeCell="D39" sqref="D39"/>
    </sheetView>
  </sheetViews>
  <sheetFormatPr defaultRowHeight="15" x14ac:dyDescent="0.2"/>
  <cols>
    <col min="1" max="1" width="64.28515625" style="149" customWidth="1"/>
    <col min="2" max="2" width="24.85546875" style="124" customWidth="1"/>
    <col min="3" max="3" width="24.5703125" style="124" customWidth="1"/>
    <col min="4" max="4" width="25.42578125" style="124" customWidth="1"/>
  </cols>
  <sheetData>
    <row r="1" spans="1:15" x14ac:dyDescent="0.2">
      <c r="A1" s="184"/>
      <c r="B1" s="766"/>
      <c r="C1" s="766"/>
      <c r="D1" s="766"/>
    </row>
    <row r="2" spans="1:15" ht="15" customHeight="1" x14ac:dyDescent="0.2">
      <c r="A2" s="184"/>
      <c r="B2" s="766"/>
      <c r="C2" s="766"/>
      <c r="D2" s="766"/>
    </row>
    <row r="3" spans="1:15" ht="15" customHeight="1" x14ac:dyDescent="0.2">
      <c r="A3" s="184"/>
      <c r="B3" s="766"/>
      <c r="C3" s="766"/>
      <c r="D3" s="766"/>
    </row>
    <row r="4" spans="1:15" ht="12.75" customHeight="1" x14ac:dyDescent="0.2">
      <c r="A4" s="185"/>
      <c r="B4" s="766"/>
      <c r="C4" s="766"/>
      <c r="D4" s="766"/>
    </row>
    <row r="5" spans="1:15" ht="15" customHeight="1" x14ac:dyDescent="0.2">
      <c r="A5" s="184"/>
      <c r="B5" s="766"/>
      <c r="C5" s="766"/>
      <c r="D5" s="766"/>
    </row>
    <row r="6" spans="1:15" ht="21" customHeight="1" x14ac:dyDescent="0.2">
      <c r="A6" s="184"/>
      <c r="B6" s="767"/>
      <c r="C6" s="767"/>
      <c r="D6" s="767"/>
    </row>
    <row r="7" spans="1:15" ht="63" customHeight="1" x14ac:dyDescent="0.2">
      <c r="A7" s="184"/>
      <c r="B7" s="209"/>
      <c r="C7" s="209"/>
      <c r="D7" s="209"/>
    </row>
    <row r="8" spans="1:15" ht="15" customHeight="1" x14ac:dyDescent="0.2">
      <c r="A8" s="768" t="s">
        <v>130</v>
      </c>
      <c r="B8" s="756" t="s">
        <v>14</v>
      </c>
      <c r="C8" s="756"/>
      <c r="D8" s="756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</row>
    <row r="9" spans="1:15" ht="14.25" customHeight="1" x14ac:dyDescent="0.2">
      <c r="A9" s="769"/>
      <c r="B9" s="470">
        <v>130</v>
      </c>
      <c r="C9" s="470">
        <v>150</v>
      </c>
      <c r="D9" s="470">
        <v>200</v>
      </c>
      <c r="E9" s="399"/>
      <c r="F9" s="399"/>
      <c r="G9" s="399"/>
      <c r="H9" s="398"/>
      <c r="I9" s="398"/>
      <c r="J9" s="398"/>
      <c r="K9" s="398"/>
      <c r="L9" s="398"/>
      <c r="M9" s="398"/>
      <c r="N9" s="398"/>
      <c r="O9" s="398"/>
    </row>
    <row r="10" spans="1:15" s="7" customFormat="1" ht="20.100000000000001" customHeight="1" x14ac:dyDescent="0.2">
      <c r="A10" s="145" t="s">
        <v>113</v>
      </c>
      <c r="B10" s="10"/>
      <c r="C10" s="10"/>
      <c r="D10" s="10"/>
      <c r="E10" s="399"/>
      <c r="F10" s="399"/>
      <c r="G10" s="399"/>
      <c r="H10" s="163"/>
      <c r="I10" s="163"/>
      <c r="J10" s="163"/>
      <c r="K10" s="163"/>
      <c r="L10" s="163"/>
      <c r="M10" s="163"/>
      <c r="N10" s="163"/>
      <c r="O10" s="163"/>
    </row>
    <row r="11" spans="1:15" ht="15" customHeight="1" x14ac:dyDescent="0.2">
      <c r="A11" s="517" t="s">
        <v>189</v>
      </c>
      <c r="B11" s="469">
        <f>695*(100%-'Установка скидки'!$F$11)</f>
        <v>695</v>
      </c>
      <c r="C11" s="469">
        <f>798*(100%-'Установка скидки'!$F$11)</f>
        <v>798</v>
      </c>
      <c r="D11" s="469">
        <f>1052*(100%-'Установка скидки'!$F$11)</f>
        <v>1052</v>
      </c>
      <c r="E11" s="399"/>
      <c r="F11" s="399"/>
      <c r="G11" s="399"/>
      <c r="H11" s="398"/>
      <c r="I11" s="398"/>
      <c r="J11" s="398"/>
      <c r="K11" s="398"/>
      <c r="L11" s="398"/>
      <c r="M11" s="398"/>
      <c r="N11" s="398"/>
      <c r="O11" s="398"/>
    </row>
    <row r="12" spans="1:15" ht="20.100000000000001" customHeight="1" x14ac:dyDescent="0.2">
      <c r="A12" s="518" t="s">
        <v>65</v>
      </c>
      <c r="B12" s="469"/>
      <c r="C12" s="469"/>
      <c r="D12" s="469"/>
    </row>
    <row r="13" spans="1:15" s="7" customFormat="1" ht="15" customHeight="1" x14ac:dyDescent="0.2">
      <c r="A13" s="517" t="s">
        <v>136</v>
      </c>
      <c r="B13" s="469">
        <f>1525*(100%-'Установка скидки'!$F$11)</f>
        <v>1525</v>
      </c>
      <c r="C13" s="469">
        <f>1640*(100%-'Установка скидки'!$F$11)</f>
        <v>1640</v>
      </c>
      <c r="D13" s="469">
        <f>2672*(100%-'Установка скидки'!$F$11)</f>
        <v>2672</v>
      </c>
    </row>
    <row r="14" spans="1:15" s="7" customFormat="1" ht="15" customHeight="1" x14ac:dyDescent="0.2">
      <c r="A14" s="518" t="s">
        <v>66</v>
      </c>
      <c r="B14" s="469"/>
      <c r="C14" s="469"/>
      <c r="D14" s="469"/>
    </row>
    <row r="15" spans="1:15" s="7" customFormat="1" ht="15" customHeight="1" x14ac:dyDescent="0.2">
      <c r="A15" s="517" t="s">
        <v>136</v>
      </c>
      <c r="B15" s="469">
        <f>599*(100%-'Установка скидки'!$F$11)</f>
        <v>599</v>
      </c>
      <c r="C15" s="469">
        <f>706*(100%-'Установка скидки'!$F$11)</f>
        <v>706</v>
      </c>
      <c r="D15" s="469">
        <f>1053*(100%-'Установка скидки'!$F$11)</f>
        <v>1053</v>
      </c>
    </row>
    <row r="16" spans="1:15" ht="20.100000000000001" customHeight="1" x14ac:dyDescent="0.2">
      <c r="A16" s="518" t="s">
        <v>68</v>
      </c>
      <c r="B16" s="469"/>
      <c r="C16" s="469"/>
      <c r="D16" s="469"/>
    </row>
    <row r="17" spans="1:4" s="7" customFormat="1" ht="15" customHeight="1" x14ac:dyDescent="0.2">
      <c r="A17" s="517" t="s">
        <v>189</v>
      </c>
      <c r="B17" s="469">
        <f>1434*(100%-'Установка скидки'!$F$11)</f>
        <v>1434</v>
      </c>
      <c r="C17" s="469">
        <f>1696*(100%-'Установка скидки'!$F$11)</f>
        <v>1696</v>
      </c>
      <c r="D17" s="469">
        <f>2394*(100%-'Установка скидки'!$F$11)</f>
        <v>2394</v>
      </c>
    </row>
    <row r="18" spans="1:4" s="7" customFormat="1" ht="20.100000000000001" customHeight="1" x14ac:dyDescent="0.2">
      <c r="A18" s="518" t="s">
        <v>69</v>
      </c>
      <c r="B18" s="469"/>
      <c r="C18" s="469"/>
      <c r="D18" s="469"/>
    </row>
    <row r="19" spans="1:4" ht="15" customHeight="1" x14ac:dyDescent="0.2">
      <c r="A19" s="517" t="s">
        <v>189</v>
      </c>
      <c r="B19" s="469">
        <f>1635*(100%-'Установка скидки'!$F$11)</f>
        <v>1635</v>
      </c>
      <c r="C19" s="469">
        <f>1954*(100%-'Установка скидки'!$F$11)</f>
        <v>1954</v>
      </c>
      <c r="D19" s="469">
        <f>2828*(100%-'Установка скидки'!$F$11)</f>
        <v>2828</v>
      </c>
    </row>
    <row r="20" spans="1:4" s="7" customFormat="1" ht="20.100000000000001" customHeight="1" x14ac:dyDescent="0.2">
      <c r="A20" s="519" t="s">
        <v>67</v>
      </c>
      <c r="B20" s="469"/>
      <c r="C20" s="469"/>
      <c r="D20" s="469"/>
    </row>
    <row r="21" spans="1:4" s="7" customFormat="1" ht="15" customHeight="1" x14ac:dyDescent="0.2">
      <c r="A21" s="517" t="s">
        <v>189</v>
      </c>
      <c r="B21" s="469">
        <f>1138*(100%-'Установка скидки'!$F$11)</f>
        <v>1138</v>
      </c>
      <c r="C21" s="469">
        <f>1328*(100%-'Установка скидки'!$F$11)</f>
        <v>1328</v>
      </c>
      <c r="D21" s="469">
        <f>1819*(100%-'Установка скидки'!$F$11)</f>
        <v>1819</v>
      </c>
    </row>
    <row r="22" spans="1:4" ht="20.100000000000001" customHeight="1" x14ac:dyDescent="0.2">
      <c r="A22" s="518" t="s">
        <v>71</v>
      </c>
      <c r="B22" s="469"/>
      <c r="C22" s="469"/>
      <c r="D22" s="469"/>
    </row>
    <row r="23" spans="1:4" s="7" customFormat="1" ht="15" customHeight="1" x14ac:dyDescent="0.2">
      <c r="A23" s="517" t="s">
        <v>189</v>
      </c>
      <c r="B23" s="469">
        <f>4297*(100%-'Установка скидки'!$F$11)</f>
        <v>4297</v>
      </c>
      <c r="C23" s="469">
        <f>5109*(100%-'Установка скидки'!$F$11)</f>
        <v>5109</v>
      </c>
      <c r="D23" s="469">
        <f>7314*(100%-'Установка скидки'!$F$11)</f>
        <v>7314</v>
      </c>
    </row>
    <row r="24" spans="1:4" s="7" customFormat="1" ht="20.100000000000001" customHeight="1" x14ac:dyDescent="0.2">
      <c r="A24" s="518" t="s">
        <v>70</v>
      </c>
      <c r="B24" s="469"/>
      <c r="C24" s="469"/>
      <c r="D24" s="469"/>
    </row>
    <row r="25" spans="1:4" ht="15" customHeight="1" x14ac:dyDescent="0.2">
      <c r="A25" s="517" t="s">
        <v>189</v>
      </c>
      <c r="B25" s="469">
        <f>2366*(100%-'Установка скидки'!$F$11)</f>
        <v>2366</v>
      </c>
      <c r="C25" s="469">
        <f>3797*(100%-'Установка скидки'!$F$11)</f>
        <v>3797</v>
      </c>
      <c r="D25" s="469">
        <f>5706*(100%-'Установка скидки'!$F$11)</f>
        <v>5706</v>
      </c>
    </row>
    <row r="26" spans="1:4" ht="15" customHeight="1" x14ac:dyDescent="0.2">
      <c r="A26" s="518" t="s">
        <v>190</v>
      </c>
      <c r="B26" s="469"/>
      <c r="C26" s="469"/>
      <c r="D26" s="469"/>
    </row>
    <row r="27" spans="1:4" ht="15" customHeight="1" x14ac:dyDescent="0.2">
      <c r="A27" s="517" t="s">
        <v>189</v>
      </c>
      <c r="B27" s="469">
        <f>2681*(100%-'Установка скидки'!$F$11)</f>
        <v>2681</v>
      </c>
      <c r="C27" s="469">
        <f>3098*(100%-'Установка скидки'!$F$11)</f>
        <v>3098</v>
      </c>
      <c r="D27" s="469">
        <f>4142*(100%-'Установка скидки'!$F$11)</f>
        <v>4142</v>
      </c>
    </row>
    <row r="28" spans="1:4" ht="20.100000000000001" customHeight="1" x14ac:dyDescent="0.2">
      <c r="A28" s="518" t="s">
        <v>72</v>
      </c>
      <c r="B28" s="469"/>
      <c r="C28" s="469"/>
      <c r="D28" s="469"/>
    </row>
    <row r="29" spans="1:4" ht="15" customHeight="1" x14ac:dyDescent="0.2">
      <c r="A29" s="517" t="s">
        <v>189</v>
      </c>
      <c r="B29" s="469">
        <f>3501*(100%-'Установка скидки'!$F$11)</f>
        <v>3501</v>
      </c>
      <c r="C29" s="469">
        <f>4032*(100%-'Установка скидки'!$F$11)</f>
        <v>4032</v>
      </c>
      <c r="D29" s="469">
        <f>5350*(100%-'Установка скидки'!$F$11)</f>
        <v>5350</v>
      </c>
    </row>
    <row r="30" spans="1:4" ht="20.100000000000001" customHeight="1" x14ac:dyDescent="0.2">
      <c r="A30" s="518" t="s">
        <v>73</v>
      </c>
      <c r="B30" s="469"/>
      <c r="C30" s="469"/>
      <c r="D30" s="469"/>
    </row>
    <row r="31" spans="1:4" s="7" customFormat="1" ht="15" customHeight="1" x14ac:dyDescent="0.2">
      <c r="A31" s="517" t="s">
        <v>189</v>
      </c>
      <c r="B31" s="469">
        <f>1089*(100%-'Установка скидки'!$F$11)</f>
        <v>1089</v>
      </c>
      <c r="C31" s="469">
        <f>1246*(100%-'Установка скидки'!$F$11)</f>
        <v>1246</v>
      </c>
      <c r="D31" s="469">
        <f>1623*(100%-'Установка скидки'!$F$11)</f>
        <v>1623</v>
      </c>
    </row>
    <row r="32" spans="1:4" s="18" customFormat="1" ht="20.100000000000001" customHeight="1" x14ac:dyDescent="0.2">
      <c r="A32" s="518" t="s">
        <v>74</v>
      </c>
      <c r="B32" s="469"/>
      <c r="C32" s="469"/>
      <c r="D32" s="469"/>
    </row>
    <row r="33" spans="1:4" ht="15" customHeight="1" x14ac:dyDescent="0.2">
      <c r="A33" s="517" t="s">
        <v>189</v>
      </c>
      <c r="B33" s="469">
        <f>1948*(100%-'Установка скидки'!$F$11)</f>
        <v>1948</v>
      </c>
      <c r="C33" s="469">
        <f>2237*(100%-'Установка скидки'!$F$11)</f>
        <v>2237</v>
      </c>
      <c r="D33" s="469">
        <f>2944*(100%-'Установка скидки'!$F$11)</f>
        <v>2944</v>
      </c>
    </row>
    <row r="34" spans="1:4" s="7" customFormat="1" ht="20.100000000000001" customHeight="1" x14ac:dyDescent="0.2">
      <c r="A34" s="518" t="s">
        <v>75</v>
      </c>
      <c r="B34" s="469"/>
      <c r="C34" s="469"/>
      <c r="D34" s="469"/>
    </row>
    <row r="35" spans="1:4" s="7" customFormat="1" ht="15" customHeight="1" x14ac:dyDescent="0.2">
      <c r="A35" s="517" t="s">
        <v>189</v>
      </c>
      <c r="B35" s="469">
        <f>1603*(100%-'Установка скидки'!$F$11)</f>
        <v>1603</v>
      </c>
      <c r="C35" s="469">
        <f>2083*(100%-'Установка скидки'!$F$11)</f>
        <v>2083</v>
      </c>
      <c r="D35" s="469">
        <f>2916*(100%-'Установка скидки'!$F$11)</f>
        <v>2916</v>
      </c>
    </row>
    <row r="36" spans="1:4" s="18" customFormat="1" ht="20.100000000000001" customHeight="1" x14ac:dyDescent="0.2">
      <c r="A36" s="518" t="s">
        <v>95</v>
      </c>
      <c r="B36" s="469"/>
      <c r="C36" s="469"/>
      <c r="D36" s="469"/>
    </row>
    <row r="37" spans="1:4" ht="15" customHeight="1" x14ac:dyDescent="0.2">
      <c r="A37" s="517" t="s">
        <v>136</v>
      </c>
      <c r="B37" s="469">
        <f>412*(100%-'Установка скидки'!$F$11)</f>
        <v>412</v>
      </c>
      <c r="C37" s="469">
        <f>474*(100%-'Установка скидки'!$F$11)</f>
        <v>474</v>
      </c>
      <c r="D37" s="469">
        <f>603*(100%-'Установка скидки'!$F$11)</f>
        <v>603</v>
      </c>
    </row>
    <row r="38" spans="1:4" s="7" customFormat="1" ht="20.100000000000001" customHeight="1" x14ac:dyDescent="0.2">
      <c r="A38" s="518" t="s">
        <v>188</v>
      </c>
      <c r="B38" s="469"/>
      <c r="C38" s="469"/>
      <c r="D38" s="469"/>
    </row>
    <row r="39" spans="1:4" s="7" customFormat="1" ht="15" customHeight="1" x14ac:dyDescent="0.2">
      <c r="A39" s="517" t="s">
        <v>137</v>
      </c>
      <c r="B39" s="469">
        <f>660*(100%-'Установка скидки'!$F$11)</f>
        <v>660</v>
      </c>
      <c r="C39" s="469">
        <f>721*(100%-'Установка скидки'!$F$11)</f>
        <v>721</v>
      </c>
      <c r="D39" s="469">
        <f>904*(100%-'Установка скидки'!$F$11)</f>
        <v>904</v>
      </c>
    </row>
    <row r="40" spans="1:4" ht="24" customHeight="1" x14ac:dyDescent="0.2"/>
    <row r="41" spans="1:4" ht="21.75" customHeight="1" x14ac:dyDescent="0.2"/>
    <row r="43" spans="1:4" x14ac:dyDescent="0.25">
      <c r="A43" s="768" t="s">
        <v>138</v>
      </c>
      <c r="B43" s="770" t="s">
        <v>133</v>
      </c>
      <c r="C43" s="770"/>
      <c r="D43" s="770"/>
    </row>
    <row r="44" spans="1:4" ht="33" customHeight="1" x14ac:dyDescent="0.2">
      <c r="A44" s="758"/>
      <c r="B44" s="470" t="s">
        <v>146</v>
      </c>
      <c r="C44" s="470" t="s">
        <v>147</v>
      </c>
      <c r="D44" s="470" t="s">
        <v>149</v>
      </c>
    </row>
    <row r="45" spans="1:4" ht="20.100000000000001" customHeight="1" x14ac:dyDescent="0.2">
      <c r="A45" s="189" t="s">
        <v>96</v>
      </c>
      <c r="B45" s="112"/>
      <c r="C45" s="112"/>
      <c r="D45" s="112"/>
    </row>
    <row r="46" spans="1:4" ht="17.25" customHeight="1" x14ac:dyDescent="0.2">
      <c r="A46" s="513" t="s">
        <v>197</v>
      </c>
      <c r="B46" s="468">
        <f>2216*(100%-'Установка скидки'!$F$11)</f>
        <v>2216</v>
      </c>
      <c r="C46" s="468">
        <f>2468*(100%-'Установка скидки'!$F$11)</f>
        <v>2468</v>
      </c>
      <c r="D46" s="468">
        <f>3195*(100%-'Установка скидки'!$F$11)</f>
        <v>3195</v>
      </c>
    </row>
    <row r="47" spans="1:4" ht="20.100000000000001" customHeight="1" x14ac:dyDescent="0.2">
      <c r="A47" s="514" t="s">
        <v>97</v>
      </c>
      <c r="B47" s="468"/>
      <c r="C47" s="468"/>
      <c r="D47" s="468"/>
    </row>
    <row r="48" spans="1:4" ht="17.25" customHeight="1" x14ac:dyDescent="0.2">
      <c r="A48" s="513" t="s">
        <v>197</v>
      </c>
      <c r="B48" s="468">
        <f>4499*(100%-'Установка скидки'!$F$11)</f>
        <v>4499</v>
      </c>
      <c r="C48" s="468">
        <f>5091*(100%-'Установка скидки'!$F$11)</f>
        <v>5091</v>
      </c>
      <c r="D48" s="468">
        <f>6657*(100%-'Установка скидки'!$F$11)</f>
        <v>6657</v>
      </c>
    </row>
    <row r="49" spans="1:4" ht="20.100000000000001" customHeight="1" x14ac:dyDescent="0.2">
      <c r="A49" s="514" t="s">
        <v>98</v>
      </c>
      <c r="B49" s="468"/>
      <c r="C49" s="468"/>
      <c r="D49" s="468"/>
    </row>
    <row r="50" spans="1:4" ht="18.75" customHeight="1" x14ac:dyDescent="0.2">
      <c r="A50" s="513" t="s">
        <v>197</v>
      </c>
      <c r="B50" s="468">
        <f>6032*(100%-'Установка скидки'!$F$11)</f>
        <v>6032</v>
      </c>
      <c r="C50" s="468">
        <f>6758*(100%-'Установка скидки'!$F$11)</f>
        <v>6758</v>
      </c>
      <c r="D50" s="468">
        <f>9632*(100%-'Установка скидки'!$F$11)</f>
        <v>9632</v>
      </c>
    </row>
    <row r="51" spans="1:4" ht="20.100000000000001" customHeight="1" x14ac:dyDescent="0.2">
      <c r="A51" s="514" t="s">
        <v>79</v>
      </c>
      <c r="B51" s="468"/>
      <c r="C51" s="468"/>
      <c r="D51" s="468"/>
    </row>
    <row r="52" spans="1:4" ht="18" customHeight="1" x14ac:dyDescent="0.2">
      <c r="A52" s="513" t="s">
        <v>197</v>
      </c>
      <c r="B52" s="468">
        <f>2082*(100%-'Установка скидки'!$F$11)</f>
        <v>2082</v>
      </c>
      <c r="C52" s="468">
        <f>2334*(100%-'Установка скидки'!$F$11)</f>
        <v>2334</v>
      </c>
      <c r="D52" s="468">
        <f>2981*(100%-'Установка скидки'!$F$11)</f>
        <v>2981</v>
      </c>
    </row>
    <row r="53" spans="1:4" ht="20.100000000000001" customHeight="1" x14ac:dyDescent="0.2">
      <c r="A53" s="514" t="s">
        <v>99</v>
      </c>
      <c r="B53" s="468"/>
      <c r="C53" s="468"/>
      <c r="D53" s="468"/>
    </row>
    <row r="54" spans="1:4" ht="15.75" x14ac:dyDescent="0.2">
      <c r="A54" s="513" t="s">
        <v>197</v>
      </c>
      <c r="B54" s="468">
        <f>2861*(100%-'Установка скидки'!$F$11)</f>
        <v>2861</v>
      </c>
      <c r="C54" s="468">
        <f>3200*(100%-'Установка скидки'!$F$11)</f>
        <v>3200</v>
      </c>
      <c r="D54" s="468">
        <f>4077*(100%-'Установка скидки'!$F$11)</f>
        <v>4077</v>
      </c>
    </row>
    <row r="55" spans="1:4" ht="20.100000000000001" customHeight="1" x14ac:dyDescent="0.2">
      <c r="A55" s="514" t="s">
        <v>87</v>
      </c>
      <c r="B55" s="468"/>
      <c r="C55" s="468"/>
      <c r="D55" s="468"/>
    </row>
    <row r="56" spans="1:4" ht="18.75" customHeight="1" x14ac:dyDescent="0.2">
      <c r="A56" s="513" t="s">
        <v>197</v>
      </c>
      <c r="B56" s="468">
        <f>11356*(100%-'Установка скидки'!$F$11)</f>
        <v>11356</v>
      </c>
      <c r="C56" s="468">
        <f>13137*(100%-'Установка скидки'!$F$11)</f>
        <v>13137</v>
      </c>
      <c r="D56" s="468">
        <f>18081*(100%-'Установка скидки'!$F$11)</f>
        <v>18081</v>
      </c>
    </row>
    <row r="57" spans="1:4" ht="20.100000000000001" customHeight="1" x14ac:dyDescent="0.2">
      <c r="A57" s="514" t="s">
        <v>88</v>
      </c>
      <c r="B57" s="468"/>
      <c r="C57" s="468"/>
      <c r="D57" s="468"/>
    </row>
    <row r="58" spans="1:4" ht="19.5" customHeight="1" x14ac:dyDescent="0.2">
      <c r="A58" s="513" t="s">
        <v>197</v>
      </c>
      <c r="B58" s="468">
        <f>8657*(100%-'Установка скидки'!$F$11)</f>
        <v>8657</v>
      </c>
      <c r="C58" s="468">
        <f>9627*(100%-'Установка скидки'!$F$11)</f>
        <v>9627</v>
      </c>
      <c r="D58" s="468">
        <f>13287*(100%-'Установка скидки'!$F$11)</f>
        <v>13287</v>
      </c>
    </row>
    <row r="59" spans="1:4" ht="19.5" customHeight="1" x14ac:dyDescent="0.2">
      <c r="A59" s="514" t="s">
        <v>187</v>
      </c>
      <c r="B59" s="468"/>
      <c r="C59" s="468"/>
      <c r="D59" s="468"/>
    </row>
    <row r="60" spans="1:4" ht="19.5" customHeight="1" x14ac:dyDescent="0.2">
      <c r="A60" s="513" t="s">
        <v>197</v>
      </c>
      <c r="B60" s="468">
        <f>7248*(100%-'Установка скидки'!$F$11)</f>
        <v>7248</v>
      </c>
      <c r="C60" s="468">
        <f>8034*(100%-'Установка скидки'!$F$11)</f>
        <v>8034</v>
      </c>
      <c r="D60" s="468">
        <f>9974*(100%-'Установка скидки'!$F$11)</f>
        <v>9974</v>
      </c>
    </row>
    <row r="61" spans="1:4" ht="20.100000000000001" customHeight="1" x14ac:dyDescent="0.2">
      <c r="A61" s="514" t="s">
        <v>101</v>
      </c>
      <c r="B61" s="468"/>
      <c r="C61" s="468"/>
      <c r="D61" s="468"/>
    </row>
    <row r="62" spans="1:4" ht="15.75" x14ac:dyDescent="0.2">
      <c r="A62" s="513" t="s">
        <v>197</v>
      </c>
      <c r="B62" s="468">
        <f>8463*(100%-'Установка скидки'!$F$11)</f>
        <v>8463</v>
      </c>
      <c r="C62" s="468">
        <f>9482*(100%-'Установка скидки'!$F$11)</f>
        <v>9482</v>
      </c>
      <c r="D62" s="468">
        <f>12099*(100%-'Установка скидки'!$F$11)</f>
        <v>12099</v>
      </c>
    </row>
    <row r="63" spans="1:4" ht="20.100000000000001" customHeight="1" x14ac:dyDescent="0.2">
      <c r="A63" s="514" t="s">
        <v>102</v>
      </c>
      <c r="B63" s="468"/>
      <c r="C63" s="468"/>
      <c r="D63" s="468"/>
    </row>
    <row r="64" spans="1:4" ht="15.75" x14ac:dyDescent="0.2">
      <c r="A64" s="513" t="s">
        <v>197</v>
      </c>
      <c r="B64" s="468">
        <f>2871*(100%-'Установка скидки'!$F$11)</f>
        <v>2871</v>
      </c>
      <c r="C64" s="468">
        <f>3224*(100%-'Установка скидки'!$F$11)</f>
        <v>3224</v>
      </c>
      <c r="D64" s="468">
        <f>4069*(100%-'Установка скидки'!$F$11)</f>
        <v>4069</v>
      </c>
    </row>
    <row r="65" spans="1:4" ht="20.100000000000001" customHeight="1" x14ac:dyDescent="0.2">
      <c r="A65" s="514" t="s">
        <v>103</v>
      </c>
      <c r="B65" s="468"/>
      <c r="C65" s="468"/>
      <c r="D65" s="468"/>
    </row>
    <row r="66" spans="1:4" ht="15.75" x14ac:dyDescent="0.2">
      <c r="A66" s="515" t="s">
        <v>197</v>
      </c>
      <c r="B66" s="468">
        <f>4525*(100%-'Установка скидки'!$F$11)</f>
        <v>4525</v>
      </c>
      <c r="C66" s="468">
        <f>5049*(100%-'Установка скидки'!$F$11)</f>
        <v>5049</v>
      </c>
      <c r="D66" s="468">
        <f>6457*(100%-'Установка скидки'!$F$11)</f>
        <v>6457</v>
      </c>
    </row>
    <row r="67" spans="1:4" ht="18.75" customHeight="1" x14ac:dyDescent="0.2">
      <c r="A67" s="514" t="s">
        <v>186</v>
      </c>
      <c r="B67" s="468"/>
      <c r="C67" s="468"/>
      <c r="D67" s="468"/>
    </row>
    <row r="68" spans="1:4" ht="15.75" x14ac:dyDescent="0.2">
      <c r="A68" s="516" t="s">
        <v>136</v>
      </c>
      <c r="B68" s="468">
        <f>677*(100%-'Установка скидки'!$F$11)</f>
        <v>677</v>
      </c>
      <c r="C68" s="468">
        <f>779*(100%-'Установка скидки'!$F$11)</f>
        <v>779</v>
      </c>
      <c r="D68" s="468">
        <f>1036*(100%-'Установка скидки'!$F$11)</f>
        <v>1036</v>
      </c>
    </row>
    <row r="69" spans="1:4" ht="19.5" customHeight="1" x14ac:dyDescent="0.2">
      <c r="A69" s="514" t="s">
        <v>185</v>
      </c>
      <c r="B69" s="468"/>
      <c r="C69" s="468"/>
      <c r="D69" s="468"/>
    </row>
    <row r="70" spans="1:4" ht="15.75" x14ac:dyDescent="0.2">
      <c r="A70" s="516" t="s">
        <v>137</v>
      </c>
      <c r="B70" s="468">
        <f>985*(100%-'Установка скидки'!$F$11)</f>
        <v>985</v>
      </c>
      <c r="C70" s="468">
        <f>1091*(100%-'Установка скидки'!$F$11)</f>
        <v>1091</v>
      </c>
      <c r="D70" s="468">
        <f>1439*(100%-'Установка скидки'!$F$11)</f>
        <v>1439</v>
      </c>
    </row>
    <row r="72" spans="1:4" ht="15" customHeight="1" x14ac:dyDescent="0.2">
      <c r="A72" s="402" t="s">
        <v>191</v>
      </c>
      <c r="B72" s="403"/>
      <c r="C72" s="401"/>
      <c r="D72" s="401"/>
    </row>
    <row r="73" spans="1:4" ht="12.75" x14ac:dyDescent="0.2">
      <c r="B73" s="724"/>
      <c r="C73" s="724"/>
      <c r="D73" s="724"/>
    </row>
  </sheetData>
  <protectedRanges>
    <protectedRange sqref="B1:D8" name="Диапазон1_1_2_1_1"/>
    <protectedRange sqref="A18" name="Диапазон1_2_2_1_8"/>
    <protectedRange sqref="A20" name="Диапазон1_2_2_1_1_3"/>
    <protectedRange sqref="A22" name="Диапазон1_2_2_1_2_3"/>
    <protectedRange sqref="A24" name="Диапазон1_2_2_1_3_3"/>
    <protectedRange sqref="A36 A28 A32 A30 A67" name="Диапазон1_2_2_1_4_3"/>
    <protectedRange sqref="A69 A34 A38" name="Диапазон1_2_2_1_5_3"/>
    <protectedRange sqref="E9:G11" name="Диапазон1_1_2_1_1_1"/>
    <protectedRange sqref="A8:A9" name="Диапазон1_2_2_1_9"/>
    <protectedRange sqref="A70 A68 A11 A13:A15 A33 A31 A29 A35 A23 A21 A19 A17 A25:A27 A39 A37" name="Диапазон1_2_2_1_11"/>
    <protectedRange sqref="A43:A44" name="Диапазон1_2_2_1_12"/>
  </protectedRanges>
  <mergeCells count="7">
    <mergeCell ref="B73:D73"/>
    <mergeCell ref="B1:D5"/>
    <mergeCell ref="B6:D6"/>
    <mergeCell ref="A8:A9"/>
    <mergeCell ref="A43:A44"/>
    <mergeCell ref="B8:D8"/>
    <mergeCell ref="B43:D43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66"/>
  <sheetViews>
    <sheetView showGridLines="0" view="pageBreakPreview" topLeftCell="A10" zoomScale="80" zoomScaleNormal="100" zoomScaleSheetLayoutView="80" workbookViewId="0">
      <selection activeCell="J53" sqref="J53"/>
    </sheetView>
  </sheetViews>
  <sheetFormatPr defaultRowHeight="12.75" x14ac:dyDescent="0.2"/>
  <cols>
    <col min="1" max="1" width="13.7109375" customWidth="1"/>
    <col min="2" max="10" width="8.7109375" customWidth="1"/>
    <col min="244" max="244" width="25.42578125" customWidth="1"/>
    <col min="500" max="500" width="25.42578125" customWidth="1"/>
    <col min="756" max="756" width="25.42578125" customWidth="1"/>
    <col min="1012" max="1012" width="25.42578125" customWidth="1"/>
    <col min="1268" max="1268" width="25.42578125" customWidth="1"/>
    <col min="1524" max="1524" width="25.42578125" customWidth="1"/>
    <col min="1780" max="1780" width="25.42578125" customWidth="1"/>
    <col min="2036" max="2036" width="25.42578125" customWidth="1"/>
    <col min="2292" max="2292" width="25.42578125" customWidth="1"/>
    <col min="2548" max="2548" width="25.42578125" customWidth="1"/>
    <col min="2804" max="2804" width="25.42578125" customWidth="1"/>
    <col min="3060" max="3060" width="25.42578125" customWidth="1"/>
    <col min="3316" max="3316" width="25.42578125" customWidth="1"/>
    <col min="3572" max="3572" width="25.42578125" customWidth="1"/>
    <col min="3828" max="3828" width="25.42578125" customWidth="1"/>
    <col min="4084" max="4084" width="25.42578125" customWidth="1"/>
    <col min="4340" max="4340" width="25.42578125" customWidth="1"/>
    <col min="4596" max="4596" width="25.42578125" customWidth="1"/>
    <col min="4852" max="4852" width="25.42578125" customWidth="1"/>
    <col min="5108" max="5108" width="25.42578125" customWidth="1"/>
    <col min="5364" max="5364" width="25.42578125" customWidth="1"/>
    <col min="5620" max="5620" width="25.42578125" customWidth="1"/>
    <col min="5876" max="5876" width="25.42578125" customWidth="1"/>
    <col min="6132" max="6132" width="25.42578125" customWidth="1"/>
    <col min="6388" max="6388" width="25.42578125" customWidth="1"/>
    <col min="6644" max="6644" width="25.42578125" customWidth="1"/>
    <col min="6900" max="6900" width="25.42578125" customWidth="1"/>
    <col min="7156" max="7156" width="25.42578125" customWidth="1"/>
    <col min="7412" max="7412" width="25.42578125" customWidth="1"/>
    <col min="7668" max="7668" width="25.42578125" customWidth="1"/>
    <col min="7924" max="7924" width="25.42578125" customWidth="1"/>
    <col min="8180" max="8180" width="25.42578125" customWidth="1"/>
    <col min="8436" max="8436" width="25.42578125" customWidth="1"/>
    <col min="8692" max="8692" width="25.42578125" customWidth="1"/>
    <col min="8948" max="8948" width="25.42578125" customWidth="1"/>
    <col min="9204" max="9204" width="25.42578125" customWidth="1"/>
    <col min="9460" max="9460" width="25.42578125" customWidth="1"/>
    <col min="9716" max="9716" width="25.42578125" customWidth="1"/>
    <col min="9972" max="9972" width="25.42578125" customWidth="1"/>
    <col min="10228" max="10228" width="25.42578125" customWidth="1"/>
    <col min="10484" max="10484" width="25.42578125" customWidth="1"/>
    <col min="10740" max="10740" width="25.42578125" customWidth="1"/>
    <col min="10996" max="10996" width="25.42578125" customWidth="1"/>
    <col min="11252" max="11252" width="25.42578125" customWidth="1"/>
    <col min="11508" max="11508" width="25.42578125" customWidth="1"/>
    <col min="11764" max="11764" width="25.42578125" customWidth="1"/>
    <col min="12020" max="12020" width="25.42578125" customWidth="1"/>
    <col min="12276" max="12276" width="25.42578125" customWidth="1"/>
    <col min="12532" max="12532" width="25.42578125" customWidth="1"/>
    <col min="12788" max="12788" width="25.42578125" customWidth="1"/>
    <col min="13044" max="13044" width="25.42578125" customWidth="1"/>
    <col min="13300" max="13300" width="25.42578125" customWidth="1"/>
    <col min="13556" max="13556" width="25.42578125" customWidth="1"/>
    <col min="13812" max="13812" width="25.42578125" customWidth="1"/>
    <col min="14068" max="14068" width="25.42578125" customWidth="1"/>
    <col min="14324" max="14324" width="25.42578125" customWidth="1"/>
    <col min="14580" max="14580" width="25.42578125" customWidth="1"/>
    <col min="14836" max="14836" width="25.42578125" customWidth="1"/>
    <col min="15092" max="15092" width="25.42578125" customWidth="1"/>
    <col min="15348" max="15348" width="25.42578125" customWidth="1"/>
    <col min="15604" max="15604" width="25.42578125" customWidth="1"/>
    <col min="15860" max="15860" width="25.42578125" customWidth="1"/>
    <col min="16116" max="16116" width="25.42578125" customWidth="1"/>
  </cols>
  <sheetData>
    <row r="1" spans="1:11" ht="15" customHeight="1" x14ac:dyDescent="0.2"/>
    <row r="2" spans="1:11" ht="18" x14ac:dyDescent="0.25">
      <c r="C2" s="22"/>
      <c r="D2" s="22"/>
      <c r="E2" s="22"/>
    </row>
    <row r="3" spans="1:11" ht="15" customHeight="1" x14ac:dyDescent="0.2">
      <c r="C3" s="11"/>
      <c r="D3" s="11"/>
      <c r="E3" s="11"/>
    </row>
    <row r="4" spans="1:11" ht="15" customHeight="1" x14ac:dyDescent="0.2">
      <c r="E4" s="771"/>
      <c r="F4" s="772"/>
      <c r="G4" s="772"/>
      <c r="H4" s="772"/>
      <c r="I4" s="772"/>
    </row>
    <row r="5" spans="1:11" ht="15" customHeight="1" x14ac:dyDescent="0.2">
      <c r="E5" s="771"/>
      <c r="F5" s="772"/>
      <c r="G5" s="772"/>
      <c r="H5" s="772"/>
      <c r="I5" s="772"/>
    </row>
    <row r="6" spans="1:11" ht="15.75" customHeight="1" thickBot="1" x14ac:dyDescent="0.25">
      <c r="D6" s="28"/>
      <c r="E6" s="772"/>
      <c r="F6" s="772"/>
      <c r="G6" s="772"/>
      <c r="H6" s="772"/>
      <c r="I6" s="772"/>
    </row>
    <row r="7" spans="1:11" ht="15.75" customHeight="1" thickBot="1" x14ac:dyDescent="0.3">
      <c r="A7" s="790" t="s">
        <v>126</v>
      </c>
      <c r="B7" s="791"/>
      <c r="C7" s="791"/>
      <c r="D7" s="791"/>
      <c r="E7" s="791"/>
      <c r="F7" s="791"/>
      <c r="G7" s="791"/>
      <c r="H7" s="791"/>
      <c r="I7" s="791"/>
      <c r="J7" s="791"/>
      <c r="K7" s="788"/>
    </row>
    <row r="8" spans="1:11" ht="16.5" thickBot="1" x14ac:dyDescent="0.3">
      <c r="A8" s="774" t="s">
        <v>36</v>
      </c>
      <c r="B8" s="789"/>
      <c r="C8" s="789"/>
      <c r="D8" s="789"/>
      <c r="E8" s="789"/>
      <c r="F8" s="789"/>
      <c r="G8" s="789"/>
      <c r="H8" s="789"/>
      <c r="I8" s="789"/>
      <c r="J8" s="789"/>
      <c r="K8" s="788"/>
    </row>
    <row r="9" spans="1:11" ht="13.5" thickBot="1" x14ac:dyDescent="0.25">
      <c r="A9" s="30" t="s">
        <v>14</v>
      </c>
      <c r="B9" s="777" t="s">
        <v>128</v>
      </c>
      <c r="C9" s="787"/>
      <c r="D9" s="787"/>
      <c r="E9" s="787"/>
      <c r="F9" s="787"/>
      <c r="G9" s="787"/>
      <c r="H9" s="787"/>
      <c r="I9" s="787"/>
      <c r="J9" s="787"/>
      <c r="K9" s="788"/>
    </row>
    <row r="10" spans="1:11" ht="13.5" thickBot="1" x14ac:dyDescent="0.25">
      <c r="A10" s="31" t="s">
        <v>24</v>
      </c>
      <c r="B10" s="85">
        <v>80</v>
      </c>
      <c r="C10" s="85">
        <v>110</v>
      </c>
      <c r="D10" s="85">
        <v>115</v>
      </c>
      <c r="E10" s="85">
        <v>120</v>
      </c>
      <c r="F10" s="85">
        <v>130</v>
      </c>
      <c r="G10" s="85">
        <v>150</v>
      </c>
      <c r="H10" s="85">
        <v>160</v>
      </c>
      <c r="I10" s="85">
        <v>180</v>
      </c>
      <c r="J10" s="85">
        <v>200</v>
      </c>
      <c r="K10" s="86">
        <v>250</v>
      </c>
    </row>
    <row r="11" spans="1:11" ht="15.75" thickBot="1" x14ac:dyDescent="0.25">
      <c r="A11" s="139">
        <v>80</v>
      </c>
      <c r="B11" s="55">
        <f>243*(100%-'Установка скидки'!$F$11)</f>
        <v>243</v>
      </c>
      <c r="C11" s="448"/>
      <c r="D11" s="449"/>
      <c r="E11" s="450"/>
      <c r="F11" s="449"/>
      <c r="G11" s="449"/>
      <c r="H11" s="449"/>
      <c r="I11" s="449"/>
      <c r="J11" s="449"/>
      <c r="K11" s="451"/>
    </row>
    <row r="12" spans="1:11" ht="15.75" thickBot="1" x14ac:dyDescent="0.25">
      <c r="A12" s="140">
        <v>100</v>
      </c>
      <c r="B12" s="452"/>
      <c r="C12" s="160"/>
      <c r="D12" s="453"/>
      <c r="E12" s="55">
        <f>339*(100%-'Установка скидки'!$F$11)</f>
        <v>339</v>
      </c>
      <c r="F12" s="454"/>
      <c r="G12" s="455"/>
      <c r="H12" s="455"/>
      <c r="I12" s="455"/>
      <c r="J12" s="455"/>
      <c r="K12" s="456"/>
    </row>
    <row r="13" spans="1:11" ht="15.75" thickBot="1" x14ac:dyDescent="0.25">
      <c r="A13" s="141">
        <v>110</v>
      </c>
      <c r="B13" s="457"/>
      <c r="C13" s="55">
        <f>317*(100%-'Установка скидки'!$F$11)</f>
        <v>317</v>
      </c>
      <c r="D13" s="453"/>
      <c r="E13" s="55">
        <f>339*(100%-'Установка скидки'!$F$11)</f>
        <v>339</v>
      </c>
      <c r="F13" s="454"/>
      <c r="G13" s="455"/>
      <c r="H13" s="455"/>
      <c r="I13" s="455"/>
      <c r="J13" s="455"/>
      <c r="K13" s="456"/>
    </row>
    <row r="14" spans="1:11" ht="15.75" thickBot="1" x14ac:dyDescent="0.25">
      <c r="A14" s="141">
        <v>115</v>
      </c>
      <c r="B14" s="458"/>
      <c r="C14" s="459"/>
      <c r="D14" s="396"/>
      <c r="E14" s="55">
        <f>356*(100%-'Установка скидки'!$F$11)</f>
        <v>356</v>
      </c>
      <c r="F14" s="460"/>
      <c r="G14" s="455"/>
      <c r="H14" s="455"/>
      <c r="I14" s="455"/>
      <c r="J14" s="455"/>
      <c r="K14" s="456"/>
    </row>
    <row r="15" spans="1:11" ht="15.75" thickBot="1" x14ac:dyDescent="0.25">
      <c r="A15" s="141">
        <v>120</v>
      </c>
      <c r="B15" s="458"/>
      <c r="C15" s="455"/>
      <c r="D15" s="396"/>
      <c r="E15" s="55">
        <f>349*(100%-'Установка скидки'!$F$11)</f>
        <v>349</v>
      </c>
      <c r="F15" s="55">
        <f>368*(100%-'Установка скидки'!$F$11)</f>
        <v>368</v>
      </c>
      <c r="G15" s="454"/>
      <c r="H15" s="455"/>
      <c r="I15" s="455"/>
      <c r="J15" s="455"/>
      <c r="K15" s="456"/>
    </row>
    <row r="16" spans="1:11" ht="15.75" thickBot="1" x14ac:dyDescent="0.25">
      <c r="A16" s="141">
        <v>130</v>
      </c>
      <c r="B16" s="458"/>
      <c r="C16" s="455"/>
      <c r="D16" s="676"/>
      <c r="E16" s="677"/>
      <c r="F16" s="55">
        <f>395*(100%-'Установка скидки'!$F$11)</f>
        <v>395</v>
      </c>
      <c r="G16" s="454"/>
      <c r="H16" s="454"/>
      <c r="I16" s="454"/>
      <c r="J16" s="455"/>
      <c r="K16" s="456"/>
    </row>
    <row r="17" spans="1:11" ht="15.75" thickBot="1" x14ac:dyDescent="0.25">
      <c r="A17" s="141">
        <v>135</v>
      </c>
      <c r="B17" s="458"/>
      <c r="C17" s="455"/>
      <c r="D17" s="455"/>
      <c r="E17" s="455"/>
      <c r="F17" s="394"/>
      <c r="G17" s="541">
        <f>442*(100%-'Установка скидки'!$F$11)</f>
        <v>442</v>
      </c>
      <c r="H17" s="460"/>
      <c r="I17" s="460"/>
      <c r="J17" s="455"/>
      <c r="K17" s="456"/>
    </row>
    <row r="18" spans="1:11" ht="15.75" thickBot="1" x14ac:dyDescent="0.25">
      <c r="A18" s="141">
        <v>140</v>
      </c>
      <c r="B18" s="458"/>
      <c r="C18" s="455"/>
      <c r="D18" s="455"/>
      <c r="E18" s="455"/>
      <c r="F18" s="462"/>
      <c r="G18" s="55">
        <f>456*(100%-'Установка скидки'!$F$11)</f>
        <v>456</v>
      </c>
      <c r="H18" s="460"/>
      <c r="I18" s="460"/>
      <c r="J18" s="455"/>
      <c r="K18" s="456"/>
    </row>
    <row r="19" spans="1:11" ht="15.75" thickBot="1" x14ac:dyDescent="0.25">
      <c r="A19" s="141">
        <v>150</v>
      </c>
      <c r="B19" s="458"/>
      <c r="C19" s="455"/>
      <c r="D19" s="455"/>
      <c r="E19" s="455"/>
      <c r="F19" s="462"/>
      <c r="G19" s="55">
        <f>457*(100%-'Установка скидки'!$F$11)</f>
        <v>457</v>
      </c>
      <c r="H19" s="678">
        <f>426*(100%-'Установка скидки'!$F$11)</f>
        <v>426</v>
      </c>
      <c r="I19" s="55">
        <f>501*(100%-'Установка скидки'!$F$11)</f>
        <v>501</v>
      </c>
      <c r="J19" s="454"/>
      <c r="K19" s="456"/>
    </row>
    <row r="20" spans="1:11" ht="15.75" thickBot="1" x14ac:dyDescent="0.25">
      <c r="A20" s="141">
        <v>160</v>
      </c>
      <c r="B20" s="458"/>
      <c r="C20" s="455"/>
      <c r="D20" s="455"/>
      <c r="E20" s="455"/>
      <c r="F20" s="462"/>
      <c r="G20" s="593"/>
      <c r="H20" s="679"/>
      <c r="I20" s="55">
        <f>478*(100%-'Установка скидки'!$F$11)</f>
        <v>478</v>
      </c>
      <c r="J20" s="454"/>
      <c r="K20" s="456"/>
    </row>
    <row r="21" spans="1:11" ht="15.75" thickBot="1" x14ac:dyDescent="0.25">
      <c r="A21" s="141">
        <v>180</v>
      </c>
      <c r="B21" s="458"/>
      <c r="C21" s="455"/>
      <c r="D21" s="455"/>
      <c r="E21" s="455"/>
      <c r="F21" s="455"/>
      <c r="G21" s="461"/>
      <c r="H21" s="396"/>
      <c r="I21" s="55">
        <f>530*(100%-'Установка скидки'!$F$11)</f>
        <v>530</v>
      </c>
      <c r="J21" s="460"/>
      <c r="K21" s="456"/>
    </row>
    <row r="22" spans="1:11" ht="15.75" thickBot="1" x14ac:dyDescent="0.25">
      <c r="A22" s="141">
        <v>200</v>
      </c>
      <c r="B22" s="458"/>
      <c r="C22" s="455"/>
      <c r="D22" s="455"/>
      <c r="E22" s="455"/>
      <c r="F22" s="455"/>
      <c r="G22" s="455"/>
      <c r="H22" s="463"/>
      <c r="I22" s="463"/>
      <c r="J22" s="55">
        <f>583*(100%-'Установка скидки'!$F$11)</f>
        <v>583</v>
      </c>
      <c r="K22" s="464"/>
    </row>
    <row r="23" spans="1:11" ht="15.75" thickBot="1" x14ac:dyDescent="0.25">
      <c r="A23" s="141">
        <v>220</v>
      </c>
      <c r="B23" s="458"/>
      <c r="C23" s="455"/>
      <c r="D23" s="455"/>
      <c r="E23" s="455"/>
      <c r="F23" s="455"/>
      <c r="G23" s="455"/>
      <c r="H23" s="455"/>
      <c r="I23" s="455"/>
      <c r="J23" s="394"/>
      <c r="K23" s="55">
        <f>696*(100%-'Установка скидки'!$F$11)</f>
        <v>696</v>
      </c>
    </row>
    <row r="24" spans="1:11" ht="15" x14ac:dyDescent="0.2">
      <c r="A24" s="141">
        <v>225</v>
      </c>
      <c r="B24" s="458"/>
      <c r="C24" s="455"/>
      <c r="D24" s="455"/>
      <c r="E24" s="455"/>
      <c r="F24" s="455"/>
      <c r="G24" s="455"/>
      <c r="H24" s="455"/>
      <c r="I24" s="455"/>
      <c r="J24" s="396"/>
      <c r="K24" s="792">
        <f>748*(100%-'Установка скидки'!$F$11)</f>
        <v>748</v>
      </c>
    </row>
    <row r="25" spans="1:11" ht="15.75" thickBot="1" x14ac:dyDescent="0.25">
      <c r="A25" s="141">
        <v>230</v>
      </c>
      <c r="B25" s="458"/>
      <c r="C25" s="455"/>
      <c r="D25" s="455"/>
      <c r="E25" s="455"/>
      <c r="F25" s="455"/>
      <c r="G25" s="455"/>
      <c r="H25" s="459"/>
      <c r="I25" s="459"/>
      <c r="J25" s="394"/>
      <c r="K25" s="793">
        <f>555*(100%-'Установка скидки'!$F$11)</f>
        <v>555</v>
      </c>
    </row>
    <row r="26" spans="1:11" ht="15.75" thickBot="1" x14ac:dyDescent="0.25">
      <c r="A26" s="141">
        <v>250</v>
      </c>
      <c r="B26" s="458"/>
      <c r="C26" s="455"/>
      <c r="D26" s="455"/>
      <c r="E26" s="455"/>
      <c r="F26" s="455"/>
      <c r="G26" s="455"/>
      <c r="H26" s="459"/>
      <c r="I26" s="459"/>
      <c r="J26" s="461"/>
      <c r="K26" s="400">
        <f>717*(100%-'Установка скидки'!$F$11)</f>
        <v>717</v>
      </c>
    </row>
    <row r="27" spans="1:11" ht="15.75" thickBot="1" x14ac:dyDescent="0.25">
      <c r="A27" s="142">
        <v>300</v>
      </c>
      <c r="B27" s="465"/>
      <c r="C27" s="466"/>
      <c r="D27" s="466"/>
      <c r="E27" s="466"/>
      <c r="F27" s="466"/>
      <c r="G27" s="466"/>
      <c r="H27" s="466"/>
      <c r="I27" s="466"/>
      <c r="J27" s="466"/>
      <c r="K27" s="467"/>
    </row>
    <row r="28" spans="1:1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1" ht="13.5" thickBo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1" ht="18" x14ac:dyDescent="0.25">
      <c r="A30" s="780" t="s">
        <v>126</v>
      </c>
      <c r="B30" s="781"/>
      <c r="C30" s="781"/>
      <c r="D30" s="781"/>
      <c r="E30" s="781"/>
      <c r="F30" s="781"/>
      <c r="G30" s="781"/>
      <c r="H30" s="781"/>
      <c r="I30" s="781"/>
      <c r="J30" s="782"/>
    </row>
    <row r="31" spans="1:11" ht="16.5" thickBot="1" x14ac:dyDescent="0.3">
      <c r="A31" s="784" t="s">
        <v>192</v>
      </c>
      <c r="B31" s="785"/>
      <c r="C31" s="785"/>
      <c r="D31" s="785"/>
      <c r="E31" s="785"/>
      <c r="F31" s="785"/>
      <c r="G31" s="785"/>
      <c r="H31" s="785"/>
      <c r="I31" s="785"/>
      <c r="J31" s="786"/>
    </row>
    <row r="32" spans="1:11" ht="13.5" thickBot="1" x14ac:dyDescent="0.25">
      <c r="A32" s="30" t="s">
        <v>14</v>
      </c>
      <c r="B32" s="794" t="s">
        <v>128</v>
      </c>
      <c r="C32" s="794"/>
      <c r="D32" s="794"/>
      <c r="E32" s="794"/>
      <c r="F32" s="794"/>
      <c r="G32" s="794"/>
      <c r="H32" s="794"/>
      <c r="I32" s="794"/>
      <c r="J32" s="795"/>
    </row>
    <row r="33" spans="1:10" ht="13.5" thickBot="1" x14ac:dyDescent="0.25">
      <c r="A33" s="588" t="s">
        <v>24</v>
      </c>
      <c r="B33" s="581">
        <v>80</v>
      </c>
      <c r="C33" s="581">
        <v>110</v>
      </c>
      <c r="D33" s="581">
        <v>115</v>
      </c>
      <c r="E33" s="581">
        <v>120</v>
      </c>
      <c r="F33" s="581">
        <v>130</v>
      </c>
      <c r="G33" s="581">
        <v>150</v>
      </c>
      <c r="H33" s="581">
        <v>180</v>
      </c>
      <c r="I33" s="581">
        <v>200</v>
      </c>
      <c r="J33" s="582">
        <v>250</v>
      </c>
    </row>
    <row r="34" spans="1:10" ht="15.75" thickBot="1" x14ac:dyDescent="0.25">
      <c r="A34" s="589">
        <v>115</v>
      </c>
      <c r="B34" s="590"/>
      <c r="C34" s="590"/>
      <c r="D34" s="590"/>
      <c r="E34" s="590"/>
      <c r="F34" s="55">
        <f>942*(100%-'Установка скидки'!$F$11)</f>
        <v>942</v>
      </c>
      <c r="G34" s="590"/>
      <c r="H34" s="590"/>
      <c r="I34" s="590"/>
      <c r="J34" s="591"/>
    </row>
    <row r="35" spans="1:10" ht="15.75" thickBot="1" x14ac:dyDescent="0.25">
      <c r="A35" s="592">
        <v>120</v>
      </c>
      <c r="B35" s="583"/>
      <c r="C35" s="584"/>
      <c r="D35" s="585"/>
      <c r="E35" s="586"/>
      <c r="F35" s="55">
        <f>942*(100%-'Установка скидки'!$F$11)</f>
        <v>942</v>
      </c>
      <c r="G35" s="587"/>
      <c r="H35" s="585"/>
      <c r="I35" s="585"/>
      <c r="J35" s="467"/>
    </row>
    <row r="36" spans="1:10" ht="15.75" thickBot="1" x14ac:dyDescent="0.25">
      <c r="A36" s="592">
        <v>180</v>
      </c>
      <c r="B36" s="583"/>
      <c r="C36" s="584"/>
      <c r="D36" s="585"/>
      <c r="E36" s="586"/>
      <c r="F36" s="541">
        <f>1250*(100%-'Установка скидки'!$F$11)</f>
        <v>1250</v>
      </c>
      <c r="G36" s="587"/>
      <c r="H36" s="585"/>
      <c r="I36" s="585"/>
      <c r="J36" s="467"/>
    </row>
    <row r="37" spans="1:10" ht="15" x14ac:dyDescent="0.2">
      <c r="A37" s="471"/>
      <c r="B37" s="472"/>
      <c r="C37" s="473"/>
      <c r="D37" s="474"/>
      <c r="E37" s="474"/>
      <c r="F37" s="472"/>
      <c r="G37" s="474"/>
      <c r="H37" s="474"/>
      <c r="I37" s="474"/>
      <c r="J37" s="474"/>
    </row>
    <row r="38" spans="1:10" ht="13.5" thickBo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ht="18.75" thickBot="1" x14ac:dyDescent="0.3">
      <c r="A39" s="780" t="s">
        <v>127</v>
      </c>
      <c r="B39" s="781"/>
      <c r="C39" s="781"/>
      <c r="D39" s="781"/>
      <c r="E39" s="781"/>
      <c r="F39" s="781"/>
      <c r="G39" s="781"/>
      <c r="H39" s="781"/>
      <c r="I39" s="781"/>
      <c r="J39" s="782"/>
    </row>
    <row r="40" spans="1:10" ht="16.5" thickBot="1" x14ac:dyDescent="0.3">
      <c r="A40" s="774" t="s">
        <v>36</v>
      </c>
      <c r="B40" s="775"/>
      <c r="C40" s="775"/>
      <c r="D40" s="775"/>
      <c r="E40" s="775"/>
      <c r="F40" s="775"/>
      <c r="G40" s="775"/>
      <c r="H40" s="775"/>
      <c r="I40" s="775"/>
      <c r="J40" s="776"/>
    </row>
    <row r="41" spans="1:10" ht="13.5" thickBot="1" x14ac:dyDescent="0.25">
      <c r="A41" s="30" t="s">
        <v>14</v>
      </c>
      <c r="B41" s="777" t="s">
        <v>129</v>
      </c>
      <c r="C41" s="778"/>
      <c r="D41" s="778"/>
      <c r="E41" s="778"/>
      <c r="F41" s="778"/>
      <c r="G41" s="778"/>
      <c r="H41" s="778"/>
      <c r="I41" s="778"/>
      <c r="J41" s="779"/>
    </row>
    <row r="42" spans="1:10" ht="13.5" thickBot="1" x14ac:dyDescent="0.25">
      <c r="A42" s="31" t="s">
        <v>24</v>
      </c>
      <c r="B42" s="85">
        <v>80</v>
      </c>
      <c r="C42" s="85">
        <v>110</v>
      </c>
      <c r="D42" s="85">
        <v>115</v>
      </c>
      <c r="E42" s="85">
        <v>120</v>
      </c>
      <c r="F42" s="85">
        <v>130</v>
      </c>
      <c r="G42" s="85">
        <v>150</v>
      </c>
      <c r="H42" s="85">
        <v>180</v>
      </c>
      <c r="I42" s="85">
        <v>200</v>
      </c>
      <c r="J42" s="86">
        <v>250</v>
      </c>
    </row>
    <row r="43" spans="1:10" ht="15.75" thickBot="1" x14ac:dyDescent="0.25">
      <c r="A43" s="139">
        <v>80</v>
      </c>
      <c r="B43" s="46"/>
      <c r="C43" s="59"/>
      <c r="D43" s="48"/>
      <c r="E43" s="48"/>
      <c r="F43" s="48"/>
      <c r="G43" s="48"/>
      <c r="H43" s="48"/>
      <c r="I43" s="48"/>
      <c r="J43" s="49"/>
    </row>
    <row r="44" spans="1:10" ht="15.75" thickBot="1" x14ac:dyDescent="0.25">
      <c r="A44" s="140">
        <v>100</v>
      </c>
      <c r="B44" s="56"/>
      <c r="C44" s="55">
        <f>323*(100%-'Установка скидки'!$F$11)</f>
        <v>323</v>
      </c>
      <c r="D44" s="57"/>
      <c r="E44" s="61"/>
      <c r="F44" s="45"/>
      <c r="G44" s="45"/>
      <c r="H44" s="45"/>
      <c r="I44" s="45"/>
      <c r="J44" s="47"/>
    </row>
    <row r="45" spans="1:10" ht="15.75" thickBot="1" x14ac:dyDescent="0.25">
      <c r="A45" s="141">
        <v>110</v>
      </c>
      <c r="B45" s="50"/>
      <c r="C45" s="62"/>
      <c r="D45" s="54"/>
      <c r="E45" s="55">
        <f>323*(100%-'Установка скидки'!$F$11)</f>
        <v>323</v>
      </c>
      <c r="F45" s="57"/>
      <c r="G45" s="45"/>
      <c r="H45" s="45"/>
      <c r="I45" s="45"/>
      <c r="J45" s="47"/>
    </row>
    <row r="46" spans="1:10" ht="15.75" thickBot="1" x14ac:dyDescent="0.25">
      <c r="A46" s="141">
        <v>115</v>
      </c>
      <c r="B46" s="50"/>
      <c r="C46" s="45"/>
      <c r="D46" s="60"/>
      <c r="E46" s="55">
        <f>339*(100%-'Установка скидки'!$F$11)</f>
        <v>339</v>
      </c>
      <c r="F46" s="57"/>
      <c r="G46" s="45"/>
      <c r="H46" s="45"/>
      <c r="I46" s="45"/>
      <c r="J46" s="47"/>
    </row>
    <row r="47" spans="1:10" ht="15.75" thickBot="1" x14ac:dyDescent="0.25">
      <c r="A47" s="141">
        <v>120</v>
      </c>
      <c r="B47" s="50"/>
      <c r="C47" s="54"/>
      <c r="D47" s="541">
        <f>339*(100%-'Установка скидки'!$F$11)</f>
        <v>339</v>
      </c>
      <c r="E47" s="63"/>
      <c r="F47" s="45"/>
      <c r="G47" s="45"/>
      <c r="H47" s="45"/>
      <c r="I47" s="45"/>
      <c r="J47" s="47"/>
    </row>
    <row r="48" spans="1:10" ht="15.75" thickBot="1" x14ac:dyDescent="0.25">
      <c r="A48" s="141">
        <v>130</v>
      </c>
      <c r="B48" s="50"/>
      <c r="C48" s="45"/>
      <c r="D48" s="45"/>
      <c r="E48" s="45"/>
      <c r="F48" s="54"/>
      <c r="G48" s="55">
        <f>402*(100%-'Установка скидки'!$F$11)</f>
        <v>402</v>
      </c>
      <c r="H48" s="57"/>
      <c r="I48" s="45"/>
      <c r="J48" s="47"/>
    </row>
    <row r="49" spans="1:13" ht="15.75" thickBot="1" x14ac:dyDescent="0.25">
      <c r="A49" s="141">
        <v>140</v>
      </c>
      <c r="B49" s="50"/>
      <c r="C49" s="45"/>
      <c r="D49" s="45"/>
      <c r="E49" s="45"/>
      <c r="F49" s="54"/>
      <c r="G49" s="55">
        <f>433*(100%-'Установка скидки'!$F$11)</f>
        <v>433</v>
      </c>
      <c r="H49" s="57"/>
      <c r="I49" s="45"/>
      <c r="J49" s="47"/>
    </row>
    <row r="50" spans="1:13" ht="15.75" thickBot="1" x14ac:dyDescent="0.25">
      <c r="A50" s="141">
        <v>150</v>
      </c>
      <c r="B50" s="50"/>
      <c r="C50" s="45"/>
      <c r="D50" s="45"/>
      <c r="E50" s="45"/>
      <c r="F50" s="45"/>
      <c r="G50" s="62"/>
      <c r="H50" s="45"/>
      <c r="I50" s="57"/>
      <c r="J50" s="47"/>
    </row>
    <row r="51" spans="1:13" ht="15.75" thickBot="1" x14ac:dyDescent="0.25">
      <c r="A51" s="141">
        <v>180</v>
      </c>
      <c r="B51" s="50"/>
      <c r="C51" s="45"/>
      <c r="D51" s="45"/>
      <c r="E51" s="45"/>
      <c r="F51" s="45"/>
      <c r="G51" s="45"/>
      <c r="H51" s="54"/>
      <c r="I51" s="55">
        <f>540*(100%-'Установка скидки'!$F$11)</f>
        <v>540</v>
      </c>
      <c r="J51" s="58"/>
    </row>
    <row r="52" spans="1:13" ht="15.75" thickBot="1" x14ac:dyDescent="0.25">
      <c r="A52" s="141">
        <v>200</v>
      </c>
      <c r="B52" s="50"/>
      <c r="C52" s="45"/>
      <c r="D52" s="45"/>
      <c r="E52" s="45"/>
      <c r="F52" s="45"/>
      <c r="G52" s="45"/>
      <c r="H52" s="45"/>
      <c r="I52" s="63"/>
      <c r="J52" s="541">
        <f>1250*(100%-'Установка скидки'!$F$11)</f>
        <v>1250</v>
      </c>
    </row>
    <row r="53" spans="1:13" ht="15" x14ac:dyDescent="0.2">
      <c r="A53" s="141">
        <v>250</v>
      </c>
      <c r="B53" s="50"/>
      <c r="C53" s="45"/>
      <c r="D53" s="45"/>
      <c r="E53" s="45"/>
      <c r="F53" s="45"/>
      <c r="G53" s="45"/>
      <c r="H53" s="45"/>
      <c r="I53" s="45"/>
      <c r="J53" s="47"/>
    </row>
    <row r="54" spans="1:13" ht="15.75" thickBot="1" x14ac:dyDescent="0.25">
      <c r="A54" s="142">
        <v>300</v>
      </c>
      <c r="B54" s="51"/>
      <c r="C54" s="52"/>
      <c r="D54" s="52"/>
      <c r="E54" s="52"/>
      <c r="F54" s="52"/>
      <c r="G54" s="52"/>
      <c r="H54" s="52"/>
      <c r="I54" s="52"/>
      <c r="J54" s="53"/>
    </row>
    <row r="55" spans="1:13" ht="13.5" thickBo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3" ht="14.25" customHeight="1" thickBot="1" x14ac:dyDescent="0.25">
      <c r="A56" s="395"/>
      <c r="B56" s="783" t="s">
        <v>212</v>
      </c>
      <c r="C56" s="698"/>
      <c r="D56" s="698"/>
      <c r="E56" s="698"/>
      <c r="F56" s="698"/>
      <c r="G56" s="698"/>
      <c r="H56" s="698"/>
      <c r="I56" s="698"/>
      <c r="J56" s="698"/>
      <c r="K56" s="379"/>
      <c r="M56" s="18"/>
    </row>
    <row r="57" spans="1:13" ht="4.5" customHeight="1" x14ac:dyDescent="0.2">
      <c r="A57" s="379"/>
      <c r="B57" s="379"/>
      <c r="C57" s="379"/>
      <c r="D57" s="379"/>
      <c r="E57" s="379"/>
      <c r="F57" s="379"/>
      <c r="G57" s="379"/>
      <c r="H57" s="379"/>
      <c r="I57" s="379"/>
      <c r="J57" s="379"/>
      <c r="K57" s="379"/>
    </row>
    <row r="58" spans="1:13" x14ac:dyDescent="0.2">
      <c r="A58" s="773" t="s">
        <v>33</v>
      </c>
      <c r="B58" s="773"/>
      <c r="C58" s="773"/>
      <c r="D58" s="773"/>
      <c r="E58" s="773"/>
      <c r="F58" s="773"/>
      <c r="G58" s="773"/>
      <c r="H58" s="773"/>
      <c r="I58" s="773"/>
      <c r="J58" s="32"/>
      <c r="K58" s="32"/>
    </row>
    <row r="59" spans="1:13" x14ac:dyDescent="0.2">
      <c r="A59" s="773" t="s">
        <v>34</v>
      </c>
      <c r="B59" s="773"/>
      <c r="C59" s="773"/>
      <c r="D59" s="773"/>
      <c r="E59" s="773"/>
      <c r="F59" s="773"/>
      <c r="G59" s="773"/>
      <c r="H59" s="773"/>
      <c r="I59" s="773"/>
      <c r="J59" s="773"/>
      <c r="K59" s="773"/>
    </row>
    <row r="60" spans="1:13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3" x14ac:dyDescent="0.2">
      <c r="A61" s="33" t="s">
        <v>16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3" x14ac:dyDescent="0.2">
      <c r="A62" s="33" t="s">
        <v>18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3" x14ac:dyDescent="0.2">
      <c r="A63" s="33" t="s">
        <v>19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3" x14ac:dyDescent="0.2">
      <c r="A64" s="33" t="s">
        <v>20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ht="30" customHeight="1" x14ac:dyDescent="0.2">
      <c r="A65" s="751" t="s">
        <v>21</v>
      </c>
      <c r="B65" s="751"/>
      <c r="C65" s="751"/>
      <c r="D65" s="751"/>
      <c r="E65" s="751"/>
      <c r="F65" s="751"/>
      <c r="G65" s="751"/>
      <c r="H65" s="751"/>
      <c r="I65" s="751"/>
      <c r="J65" s="751"/>
      <c r="K65" s="751"/>
    </row>
    <row r="66" spans="1:11" ht="51.75" customHeight="1" x14ac:dyDescent="0.2">
      <c r="A66" s="752" t="s">
        <v>143</v>
      </c>
      <c r="B66" s="752"/>
      <c r="C66" s="752"/>
      <c r="D66" s="752"/>
      <c r="E66" s="752"/>
      <c r="F66" s="752"/>
      <c r="G66" s="752"/>
      <c r="H66" s="752"/>
      <c r="I66" s="752"/>
      <c r="J66" s="752"/>
      <c r="K66" s="752"/>
    </row>
  </sheetData>
  <mergeCells count="16">
    <mergeCell ref="A65:K65"/>
    <mergeCell ref="A66:K66"/>
    <mergeCell ref="E4:I6"/>
    <mergeCell ref="A58:I58"/>
    <mergeCell ref="A59:K59"/>
    <mergeCell ref="A40:J40"/>
    <mergeCell ref="B41:J41"/>
    <mergeCell ref="A39:J39"/>
    <mergeCell ref="B56:J56"/>
    <mergeCell ref="A30:J30"/>
    <mergeCell ref="A31:J31"/>
    <mergeCell ref="B9:K9"/>
    <mergeCell ref="A8:K8"/>
    <mergeCell ref="A7:K7"/>
    <mergeCell ref="K24:K25"/>
    <mergeCell ref="B32:J32"/>
  </mergeCells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15</vt:i4>
      </vt:variant>
    </vt:vector>
  </HeadingPairs>
  <TitlesOfParts>
    <vt:vector size="27" baseType="lpstr">
      <vt:lpstr>Установка скидки</vt:lpstr>
      <vt:lpstr>Феррит моно (AISI 430)</vt:lpstr>
      <vt:lpstr> Феррит термо (AISI 430)</vt:lpstr>
      <vt:lpstr>Адаптеры, переходы (AISI 430)</vt:lpstr>
      <vt:lpstr>СТАНДАРТ 30 (AISI 444)</vt:lpstr>
      <vt:lpstr>СТАНДАРТ 50 (AISI 304)</vt:lpstr>
      <vt:lpstr>ПРОМО (AISI 316)</vt:lpstr>
      <vt:lpstr>ЭНЕРГО (AISI 310)</vt:lpstr>
      <vt:lpstr>Адаптеры,переходы(AISI 304,310)</vt:lpstr>
      <vt:lpstr>Стандарт овал (AISI 304)</vt:lpstr>
      <vt:lpstr>Комплектующие к дымоходам</vt:lpstr>
      <vt:lpstr>Баки</vt:lpstr>
      <vt:lpstr>'Адаптеры, переходы (AISI 430)'!Заголовки_для_печати</vt:lpstr>
      <vt:lpstr>'Адаптеры,переходы(AISI 304,310)'!Заголовки_для_печати</vt:lpstr>
      <vt:lpstr>'Комплектующие к дымоходам'!Заголовки_для_печати</vt:lpstr>
      <vt:lpstr>'ПРОМО (AISI 316)'!Заголовки_для_печати</vt:lpstr>
      <vt:lpstr>'СТАНДАРТ 50 (AISI 304)'!Заголовки_для_печати</vt:lpstr>
      <vt:lpstr>'ЭНЕРГО (AISI 310)'!Заголовки_для_печати</vt:lpstr>
      <vt:lpstr>'Адаптеры, переходы (AISI 430)'!Область_печати</vt:lpstr>
      <vt:lpstr>'Адаптеры,переходы(AISI 304,310)'!Область_печати</vt:lpstr>
      <vt:lpstr>Баки!Область_печати</vt:lpstr>
      <vt:lpstr>'Комплектующие к дымоходам'!Область_печати</vt:lpstr>
      <vt:lpstr>'ПРОМО (AISI 316)'!Область_печати</vt:lpstr>
      <vt:lpstr>'СТАНДАРТ 30 (AISI 444)'!Область_печати</vt:lpstr>
      <vt:lpstr>'СТАНДАРТ 50 (AISI 304)'!Область_печати</vt:lpstr>
      <vt:lpstr>'Стандарт овал (AISI 304)'!Область_печати</vt:lpstr>
      <vt:lpstr>'ЭНЕРГО (AISI 310)'!Область_печати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Жуйкова Ю.С.</cp:lastModifiedBy>
  <cp:lastPrinted>2020-01-20T12:53:03Z</cp:lastPrinted>
  <dcterms:created xsi:type="dcterms:W3CDTF">1996-10-08T23:32:33Z</dcterms:created>
  <dcterms:modified xsi:type="dcterms:W3CDTF">2020-01-22T08:26:39Z</dcterms:modified>
</cp:coreProperties>
</file>